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Monthly Cash Flow" sheetId="2" state="visible" r:id="rId4"/>
    <sheet name="Use of Funds Chec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<sst xmlns="http://schemas.openxmlformats.org/spreadsheetml/2006/main" count="153" uniqueCount="150">
  <si>
    <t xml:space="preserve">VERIXA — 18-MONTH OPERATING BUDGET — ASSUMPTIONS</t>
  </si>
  <si>
    <t xml:space="preserve">All blue cells are inputs. Adjust and the model recalculates. Prepared 2026-06-12. ALL FIGURES ARE FOUNDER ASSUMPTIONS pending validation.</t>
  </si>
  <si>
    <t xml:space="preserve">INR input (annual / total)</t>
  </si>
  <si>
    <t xml:space="preserve">Round &amp; timing</t>
  </si>
  <si>
    <t xml:space="preserve">Gross seed raise (USD)</t>
  </si>
  <si>
    <t xml:space="preserve">Deck slide 17</t>
  </si>
  <si>
    <t xml:space="preserve">Estimated raise costs: legal + closing (USD)</t>
  </si>
  <si>
    <t xml:space="preserve">Assumption ~4%</t>
  </si>
  <si>
    <t xml:space="preserve">First close month</t>
  </si>
  <si>
    <t xml:space="preserve">Dec-2026</t>
  </si>
  <si>
    <t xml:space="preserve">Strategy doc Phase 4</t>
  </si>
  <si>
    <t xml:space="preserve">Model period</t>
  </si>
  <si>
    <t xml:space="preserve">Dec-2026 to May-2028 (18 months)</t>
  </si>
  <si>
    <t xml:space="preserve">FX rate (INR per USD)</t>
  </si>
  <si>
    <t xml:space="preserve">Founder input 2026-06-12 (conservative planning rate)</t>
  </si>
  <si>
    <t xml:space="preserve">Pre-seed cash at close (USD)</t>
  </si>
  <si>
    <t xml:space="preserve">INPUT — founder to confirm</t>
  </si>
  <si>
    <t xml:space="preserve">Monthly salaries (USD, fully loaded)</t>
  </si>
  <si>
    <t xml:space="preserve">VP Engineering (India, senior)</t>
  </si>
  <si>
    <t xml:space="preserve">Assumption ~INR 1.1Cr/yr loaded</t>
  </si>
  <si>
    <t xml:space="preserve">Head of Validation (India)</t>
  </si>
  <si>
    <t xml:space="preserve">Assumption ~INR 70L/yr loaded</t>
  </si>
  <si>
    <t xml:space="preserve">Head of GTM India</t>
  </si>
  <si>
    <t xml:space="preserve">Assumption ~INR 70L/yr + variable in GTM</t>
  </si>
  <si>
    <t xml:space="preserve">Senior engineer (each, India)</t>
  </si>
  <si>
    <t xml:space="preserve">Assumption ~INR 55L/yr loaded</t>
  </si>
  <si>
    <t xml:space="preserve">Number of senior engineers</t>
  </si>
  <si>
    <t xml:space="preserve">Deck: 2-3</t>
  </si>
  <si>
    <t xml:space="preserve">Founder draw (monthly)</t>
  </si>
  <si>
    <t xml:space="preserve">INPUT — founder decision</t>
  </si>
  <si>
    <t xml:space="preserve">Hire start months (month # from close, 1=Dec-26)</t>
  </si>
  <si>
    <t xml:space="preserve">VP Engineering start month</t>
  </si>
  <si>
    <t xml:space="preserve">Head of Validation start month</t>
  </si>
  <si>
    <t xml:space="preserve">Head of GTM India start month</t>
  </si>
  <si>
    <t xml:space="preserve">Engineer 1 start month</t>
  </si>
  <si>
    <t xml:space="preserve">Engineer 2 start month</t>
  </si>
  <si>
    <t xml:space="preserve">Engineer 3 start month</t>
  </si>
  <si>
    <t xml:space="preserve">Non-payroll monthly run-rate (USD)</t>
  </si>
  <si>
    <t xml:space="preserve">Cloud / infra / AI provider costs</t>
  </si>
  <si>
    <t xml:space="preserve">Assumption — scale-up with validation runs</t>
  </si>
  <si>
    <t xml:space="preserve">Dual-entity ops: accounting, secretarial, insurance</t>
  </si>
  <si>
    <t xml:space="preserve">US Inc + India Pvt Ltd</t>
  </si>
  <si>
    <t xml:space="preserve">Tools / software / licenses</t>
  </si>
  <si>
    <t xml:space="preserve">Office / coworking (India)</t>
  </si>
  <si>
    <t xml:space="preserve">Lumpy / phased items (USD)</t>
  </si>
  <si>
    <t xml:space="preserve">Validation package + 3rd-party arch review (total)</t>
  </si>
  <si>
    <t xml:space="preserve">20% bucket core; spread per Monthly tab</t>
  </si>
  <si>
    <t xml:space="preserve">Annex 11/22 alignment audit</t>
  </si>
  <si>
    <t xml:space="preserve">Phase Q3-Q4 2027</t>
  </si>
  <si>
    <t xml:space="preserve">Patent: complete specs + prosecution (18mo window)</t>
  </si>
  <si>
    <t xml:space="preserve">INR input col D; est ~13L incl GST; negotiating</t>
  </si>
  <si>
    <t xml:space="preserve">Patent: PCT/US filings (if elected, Dec-26 decision)</t>
  </si>
  <si>
    <t xml:space="preserve">Assumption — counsel quote required</t>
  </si>
  <si>
    <t xml:space="preserve">Regulatory advisory board (monthly retainers, total)</t>
  </si>
  <si>
    <t xml:space="preserve">From month 4; 5% bucket</t>
  </si>
  <si>
    <t xml:space="preserve">GTM: conferences + travel (monthly avg)</t>
  </si>
  <si>
    <t xml:space="preserve">Both lanes</t>
  </si>
  <si>
    <t xml:space="preserve">GTM: design-partner enablement (per partner)</t>
  </si>
  <si>
    <t xml:space="preserve">3-5 partners 2027</t>
  </si>
  <si>
    <t xml:space="preserve">Contingency (% of monthly opex)</t>
  </si>
  <si>
    <t xml:space="preserve">Buffer inside 10% bucket</t>
  </si>
  <si>
    <t xml:space="preserve">Design-partner revenue (conservative, USD)</t>
  </si>
  <si>
    <t xml:space="preserve">Phase 0/1 sprint revenue per partner</t>
  </si>
  <si>
    <t xml:space="preserve">Deck GTM ladder mid-range; conservative</t>
  </si>
  <si>
    <t xml:space="preserve">Partners signing: month #s (paid)</t>
  </si>
  <si>
    <t xml:space="preserve">10, 13, 16</t>
  </si>
  <si>
    <t xml:space="preserve">Q2-Q3 2027 milestones</t>
  </si>
  <si>
    <t xml:space="preserve">Optional additions (founder-approved 2026-06-12)</t>
  </si>
  <si>
    <t xml:space="preserve">SDR / inside sales (India)</t>
  </si>
  <si>
    <t xml:space="preserve">~INR 28L/yr loaded; feeds Lane B meetings</t>
  </si>
  <si>
    <t xml:space="preserve">SDR start month</t>
  </si>
  <si>
    <t xml:space="preserve">After first LOIs prove the pitch; set 99 to disable</t>
  </si>
  <si>
    <t xml:space="preserve">Marketing: content + website contractor (monthly)</t>
  </si>
  <si>
    <t xml:space="preserve">Founder-led thought leadership; no paid ads at seed</t>
  </si>
  <si>
    <t xml:space="preserve">Marketing contractor start month</t>
  </si>
  <si>
    <t xml:space="preserve">Marketing: brand + website build (one-time)</t>
  </si>
  <si>
    <t xml:space="preserve">Brand/website build month</t>
  </si>
  <si>
    <t xml:space="preserve">VERIXA — MONTHLY CASH FLOW (USD)</t>
  </si>
  <si>
    <t xml:space="preserve">Month 1 = first close (Dec-2026). Formulas reference Assumptions tab.</t>
  </si>
  <si>
    <t xml:space="preserve">Line</t>
  </si>
  <si>
    <t xml:space="preserve">Dec-26</t>
  </si>
  <si>
    <t xml:space="preserve">Jan-27</t>
  </si>
  <si>
    <t xml:space="preserve">Feb-27</t>
  </si>
  <si>
    <t xml:space="preserve">Mar-27</t>
  </si>
  <si>
    <t xml:space="preserve">Apr-27</t>
  </si>
  <si>
    <t xml:space="preserve">May-27</t>
  </si>
  <si>
    <t xml:space="preserve">Jun-27</t>
  </si>
  <si>
    <t xml:space="preserve">Jul-27</t>
  </si>
  <si>
    <t xml:space="preserve">Aug-27</t>
  </si>
  <si>
    <t xml:space="preserve">Sep-27</t>
  </si>
  <si>
    <t xml:space="preserve">Oct-27</t>
  </si>
  <si>
    <t xml:space="preserve">Nov-27</t>
  </si>
  <si>
    <t xml:space="preserve">Dec-27</t>
  </si>
  <si>
    <t xml:space="preserve">Jan-28</t>
  </si>
  <si>
    <t xml:space="preserve">Feb-28</t>
  </si>
  <si>
    <t xml:space="preserve">Mar-28</t>
  </si>
  <si>
    <t xml:space="preserve">Apr-28</t>
  </si>
  <si>
    <t xml:space="preserve">May-28</t>
  </si>
  <si>
    <t xml:space="preserve">Total</t>
  </si>
  <si>
    <t xml:space="preserve">INFLOWS</t>
  </si>
  <si>
    <t xml:space="preserve">Seed proceeds (net)</t>
  </si>
  <si>
    <t xml:space="preserve">Design-partner revenue</t>
  </si>
  <si>
    <t xml:space="preserve">PAYROLL</t>
  </si>
  <si>
    <t xml:space="preserve">VP Engineering</t>
  </si>
  <si>
    <t xml:space="preserve">Head of Validation</t>
  </si>
  <si>
    <t xml:space="preserve">Engineer 1</t>
  </si>
  <si>
    <t xml:space="preserve">Engineer 2</t>
  </si>
  <si>
    <t xml:space="preserve">Engineer 3</t>
  </si>
  <si>
    <t xml:space="preserve">Founder draw</t>
  </si>
  <si>
    <t xml:space="preserve">NON-PAYROLL OPEX</t>
  </si>
  <si>
    <t xml:space="preserve">Cloud / infra / AI providers</t>
  </si>
  <si>
    <t xml:space="preserve">Dual-entity ops &amp; compliance</t>
  </si>
  <si>
    <t xml:space="preserve">Tools &amp; licenses</t>
  </si>
  <si>
    <t xml:space="preserve">Office / coworking</t>
  </si>
  <si>
    <t xml:space="preserve">GTM conferences &amp; travel</t>
  </si>
  <si>
    <t xml:space="preserve">Advisory board retainers</t>
  </si>
  <si>
    <t xml:space="preserve">PHASED / LUMPY</t>
  </si>
  <si>
    <t xml:space="preserve">Validation package + arch review</t>
  </si>
  <si>
    <t xml:space="preserve">Patent: complete specs + prosecution</t>
  </si>
  <si>
    <t xml:space="preserve">Patent: PCT / US filings</t>
  </si>
  <si>
    <t xml:space="preserve">Design-partner enablement</t>
  </si>
  <si>
    <t xml:space="preserve">Marketing: content &amp; website</t>
  </si>
  <si>
    <t xml:space="preserve">Marketing: brand/site build (one-time)</t>
  </si>
  <si>
    <t xml:space="preserve">Contingency</t>
  </si>
  <si>
    <t xml:space="preserve">Total inflows</t>
  </si>
  <si>
    <t xml:space="preserve">Total outflows</t>
  </si>
  <si>
    <t xml:space="preserve">Net cash flow</t>
  </si>
  <si>
    <t xml:space="preserve">Cumulative cash</t>
  </si>
  <si>
    <t xml:space="preserve">Months of runway remaining (at trailing-3-month avg burn)</t>
  </si>
  <si>
    <t xml:space="preserve">USE OF FUNDS — DECK COMMITMENT vs MODEL</t>
  </si>
  <si>
    <t xml:space="preserve">Deck slide 17 split vs what the monthly model actually spends. Investor will check this.</t>
  </si>
  <si>
    <t xml:space="preserve">Bucket</t>
  </si>
  <si>
    <t xml:space="preserve">Deck %</t>
  </si>
  <si>
    <t xml:space="preserve">Deck $ (of $2M)</t>
  </si>
  <si>
    <t xml:space="preserve">Model 18-mo total</t>
  </si>
  <si>
    <t xml:space="preserve">Variance</t>
  </si>
  <si>
    <t xml:space="preserve">Notes</t>
  </si>
  <si>
    <t xml:space="preserve">Engineering (payroll eng + cloud + tools)</t>
  </si>
  <si>
    <t xml:space="preserve">VP Eng + 3 engineers + infra</t>
  </si>
  <si>
    <t xml:space="preserve">Validation &amp; certification</t>
  </si>
  <si>
    <t xml:space="preserve">Head of Validation + packages + audit</t>
  </si>
  <si>
    <t xml:space="preserve">Go-to-market (India + US)</t>
  </si>
  <si>
    <t xml:space="preserve">GTM head + conferences + partner enablement + SDR + marketing</t>
  </si>
  <si>
    <t xml:space="preserve">Regulatory advisory board</t>
  </si>
  <si>
    <t xml:space="preserve">Retainers from month 4</t>
  </si>
  <si>
    <t xml:space="preserve">Founder + ops + buffer</t>
  </si>
  <si>
    <t xml:space="preserve">Founder draw + entity ops + patents (legal IP) + contingency</t>
  </si>
  <si>
    <t xml:space="preserve">TOTAL</t>
  </si>
  <si>
    <t xml:space="preserve">Ending cash (May-2028)</t>
  </si>
  <si>
    <t xml:space="preserve">Raise costs (outside buckets)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</si>
</sst>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0.0"/>
    <numFmt numFmtId="167" formatCode="#,##0"/>
    <numFmt numFmtId="168" formatCode="0"/>
    <numFmt numFmtId="169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1"/>
      <color rgb="FF008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8EEF7"/>
        <bgColor rgb="FFFFFFFF"/>
      </patternFill>
    </fill>
    <fill>
      <patternFill patternType="solid">
        <fgColor rgb="FF2E5395"/>
        <bgColor rgb="FF666699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777777"/>
      <rgbColor rgb="FF9999FF"/>
      <rgbColor rgb="FF993366"/>
      <rgbColor rgb="FFFFFFCC"/>
      <rgbColor rgb="FFE8EE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395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8"/>
    <col collapsed="false" customWidth="true" hidden="false" outlineLevel="0" max="2" min="2" style="0" width="16"/>
    <col collapsed="false" customWidth="true" hidden="false" outlineLevel="0" max="3" min="3" style="0" width="46"/>
    <col collapsed="false" customWidth="true" hidden="false" outlineLevel="0" max="4" min="4" style="0" width="14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D3" s="3" t="s">
        <v>2</v>
      </c>
    </row>
    <row r="4" customFormat="false" ht="15" hidden="false" customHeight="false" outlineLevel="0" collapsed="false">
      <c r="A4" s="4" t="s">
        <v>3</v>
      </c>
    </row>
    <row r="5" customFormat="false" ht="15" hidden="false" customHeight="false" outlineLevel="0" collapsed="false">
      <c r="A5" s="5" t="s">
        <v>4</v>
      </c>
      <c r="B5" s="6" t="n">
        <v>2000000</v>
      </c>
      <c r="C5" s="3" t="s">
        <v>5</v>
      </c>
    </row>
    <row r="6" customFormat="false" ht="15" hidden="false" customHeight="false" outlineLevel="0" collapsed="false">
      <c r="A6" s="5" t="s">
        <v>6</v>
      </c>
      <c r="B6" s="6" t="n">
        <v>80000</v>
      </c>
      <c r="C6" s="3" t="s">
        <v>7</v>
      </c>
    </row>
    <row r="7" customFormat="false" ht="15" hidden="false" customHeight="false" outlineLevel="0" collapsed="false">
      <c r="A7" s="5" t="s">
        <v>8</v>
      </c>
      <c r="B7" s="7" t="s">
        <v>9</v>
      </c>
      <c r="C7" s="3" t="s">
        <v>10</v>
      </c>
    </row>
    <row r="8" customFormat="false" ht="15" hidden="false" customHeight="false" outlineLevel="0" collapsed="false">
      <c r="A8" s="5" t="s">
        <v>11</v>
      </c>
      <c r="B8" s="7" t="s">
        <v>12</v>
      </c>
    </row>
    <row r="9" customFormat="false" ht="15" hidden="false" customHeight="false" outlineLevel="0" collapsed="false">
      <c r="A9" s="5" t="s">
        <v>13</v>
      </c>
      <c r="B9" s="8" t="n">
        <v>85</v>
      </c>
      <c r="C9" s="3" t="s">
        <v>14</v>
      </c>
    </row>
    <row r="10" customFormat="false" ht="15" hidden="false" customHeight="false" outlineLevel="0" collapsed="false">
      <c r="A10" s="5" t="s">
        <v>15</v>
      </c>
      <c r="B10" s="6" t="n">
        <v>0</v>
      </c>
      <c r="C10" s="3" t="s">
        <v>16</v>
      </c>
    </row>
    <row r="11" customFormat="false" ht="15" hidden="false" customHeight="false" outlineLevel="0" collapsed="false">
      <c r="A11" s="5"/>
    </row>
    <row r="12" customFormat="false" ht="15" hidden="false" customHeight="false" outlineLevel="0" collapsed="false">
      <c r="A12" s="4" t="s">
        <v>17</v>
      </c>
    </row>
    <row r="13" customFormat="false" ht="15" hidden="false" customHeight="false" outlineLevel="0" collapsed="false">
      <c r="A13" s="5" t="s">
        <v>18</v>
      </c>
      <c r="B13" s="9" t="n">
        <f aca="false">D13/$B$9/12</f>
        <v>10784.3137254902</v>
      </c>
      <c r="C13" s="3" t="s">
        <v>19</v>
      </c>
      <c r="D13" s="10" t="n">
        <v>11000000</v>
      </c>
    </row>
    <row r="14" customFormat="false" ht="15" hidden="false" customHeight="false" outlineLevel="0" collapsed="false">
      <c r="A14" s="5" t="s">
        <v>20</v>
      </c>
      <c r="B14" s="9" t="n">
        <f aca="false">D14/$B$9/12</f>
        <v>6862.74509803922</v>
      </c>
      <c r="C14" s="3" t="s">
        <v>21</v>
      </c>
      <c r="D14" s="10" t="n">
        <v>7000000</v>
      </c>
    </row>
    <row r="15" customFormat="false" ht="15" hidden="false" customHeight="false" outlineLevel="0" collapsed="false">
      <c r="A15" s="5" t="s">
        <v>22</v>
      </c>
      <c r="B15" s="9" t="n">
        <f aca="false">D15/$B$9/12</f>
        <v>6862.74509803922</v>
      </c>
      <c r="C15" s="3" t="s">
        <v>23</v>
      </c>
      <c r="D15" s="10" t="n">
        <v>7000000</v>
      </c>
    </row>
    <row r="16" customFormat="false" ht="15" hidden="false" customHeight="false" outlineLevel="0" collapsed="false">
      <c r="A16" s="5" t="s">
        <v>24</v>
      </c>
      <c r="B16" s="9" t="n">
        <f aca="false">D16/$B$9/12</f>
        <v>5392.1568627451</v>
      </c>
      <c r="C16" s="3" t="s">
        <v>25</v>
      </c>
      <c r="D16" s="10" t="n">
        <v>5500000</v>
      </c>
    </row>
    <row r="17" customFormat="false" ht="15" hidden="false" customHeight="false" outlineLevel="0" collapsed="false">
      <c r="A17" s="5" t="s">
        <v>26</v>
      </c>
      <c r="B17" s="11" t="n">
        <v>3</v>
      </c>
      <c r="C17" s="3" t="s">
        <v>27</v>
      </c>
    </row>
    <row r="18" customFormat="false" ht="15" hidden="false" customHeight="false" outlineLevel="0" collapsed="false">
      <c r="A18" s="5" t="s">
        <v>28</v>
      </c>
      <c r="B18" s="6" t="n">
        <v>6000</v>
      </c>
      <c r="C18" s="3" t="s">
        <v>29</v>
      </c>
    </row>
    <row r="19" customFormat="false" ht="15" hidden="false" customHeight="false" outlineLevel="0" collapsed="false">
      <c r="A19" s="5"/>
    </row>
    <row r="20" customFormat="false" ht="15" hidden="false" customHeight="false" outlineLevel="0" collapsed="false">
      <c r="A20" s="4" t="s">
        <v>30</v>
      </c>
    </row>
    <row r="21" customFormat="false" ht="15" hidden="false" customHeight="false" outlineLevel="0" collapsed="false">
      <c r="A21" s="5" t="s">
        <v>31</v>
      </c>
      <c r="B21" s="11" t="n">
        <v>2</v>
      </c>
    </row>
    <row r="22" customFormat="false" ht="15" hidden="false" customHeight="false" outlineLevel="0" collapsed="false">
      <c r="A22" s="5" t="s">
        <v>32</v>
      </c>
      <c r="B22" s="11" t="n">
        <v>3</v>
      </c>
    </row>
    <row r="23" customFormat="false" ht="15" hidden="false" customHeight="false" outlineLevel="0" collapsed="false">
      <c r="A23" s="5" t="s">
        <v>33</v>
      </c>
      <c r="B23" s="11" t="n">
        <v>4</v>
      </c>
    </row>
    <row r="24" customFormat="false" ht="15" hidden="false" customHeight="false" outlineLevel="0" collapsed="false">
      <c r="A24" s="5" t="s">
        <v>34</v>
      </c>
      <c r="B24" s="11" t="n">
        <v>3</v>
      </c>
    </row>
    <row r="25" customFormat="false" ht="15" hidden="false" customHeight="false" outlineLevel="0" collapsed="false">
      <c r="A25" s="5" t="s">
        <v>35</v>
      </c>
      <c r="B25" s="11" t="n">
        <v>5</v>
      </c>
    </row>
    <row r="26" customFormat="false" ht="15" hidden="false" customHeight="false" outlineLevel="0" collapsed="false">
      <c r="A26" s="5" t="s">
        <v>36</v>
      </c>
      <c r="B26" s="11" t="n">
        <v>8</v>
      </c>
    </row>
    <row r="27" customFormat="false" ht="15" hidden="false" customHeight="false" outlineLevel="0" collapsed="false">
      <c r="A27" s="5"/>
    </row>
    <row r="28" customFormat="false" ht="15" hidden="false" customHeight="false" outlineLevel="0" collapsed="false">
      <c r="A28" s="4" t="s">
        <v>37</v>
      </c>
    </row>
    <row r="29" customFormat="false" ht="15" hidden="false" customHeight="false" outlineLevel="0" collapsed="false">
      <c r="A29" s="5" t="s">
        <v>38</v>
      </c>
      <c r="B29" s="6" t="n">
        <v>6000</v>
      </c>
      <c r="C29" s="3" t="s">
        <v>39</v>
      </c>
    </row>
    <row r="30" customFormat="false" ht="15" hidden="false" customHeight="false" outlineLevel="0" collapsed="false">
      <c r="A30" s="5" t="s">
        <v>40</v>
      </c>
      <c r="B30" s="6" t="n">
        <v>4000</v>
      </c>
      <c r="C30" s="3" t="s">
        <v>41</v>
      </c>
    </row>
    <row r="31" customFormat="false" ht="15" hidden="false" customHeight="false" outlineLevel="0" collapsed="false">
      <c r="A31" s="5" t="s">
        <v>42</v>
      </c>
      <c r="B31" s="6" t="n">
        <v>1500</v>
      </c>
    </row>
    <row r="32" customFormat="false" ht="15" hidden="false" customHeight="false" outlineLevel="0" collapsed="false">
      <c r="A32" s="5" t="s">
        <v>43</v>
      </c>
      <c r="B32" s="6" t="n">
        <v>1500</v>
      </c>
    </row>
    <row r="33" customFormat="false" ht="15" hidden="false" customHeight="false" outlineLevel="0" collapsed="false">
      <c r="A33" s="5"/>
    </row>
    <row r="34" customFormat="false" ht="15" hidden="false" customHeight="false" outlineLevel="0" collapsed="false">
      <c r="A34" s="4" t="s">
        <v>44</v>
      </c>
    </row>
    <row r="35" customFormat="false" ht="15" hidden="false" customHeight="false" outlineLevel="0" collapsed="false">
      <c r="A35" s="5" t="s">
        <v>45</v>
      </c>
      <c r="B35" s="6" t="n">
        <v>220000</v>
      </c>
      <c r="C35" s="3" t="s">
        <v>46</v>
      </c>
    </row>
    <row r="36" customFormat="false" ht="15" hidden="false" customHeight="false" outlineLevel="0" collapsed="false">
      <c r="A36" s="5" t="s">
        <v>47</v>
      </c>
      <c r="B36" s="6" t="n">
        <v>90000</v>
      </c>
      <c r="C36" s="3" t="s">
        <v>48</v>
      </c>
    </row>
    <row r="37" customFormat="false" ht="15" hidden="false" customHeight="false" outlineLevel="0" collapsed="false">
      <c r="A37" s="5" t="s">
        <v>49</v>
      </c>
      <c r="B37" s="9" t="n">
        <f aca="false">D37/$B$9</f>
        <v>15294.1176470588</v>
      </c>
      <c r="C37" s="3" t="s">
        <v>50</v>
      </c>
      <c r="D37" s="10" t="n">
        <v>1300000</v>
      </c>
    </row>
    <row r="38" customFormat="false" ht="15" hidden="false" customHeight="false" outlineLevel="0" collapsed="false">
      <c r="A38" s="5" t="s">
        <v>51</v>
      </c>
      <c r="B38" s="6" t="n">
        <v>40000</v>
      </c>
      <c r="C38" s="3" t="s">
        <v>52</v>
      </c>
    </row>
    <row r="39" customFormat="false" ht="15" hidden="false" customHeight="false" outlineLevel="0" collapsed="false">
      <c r="A39" s="5" t="s">
        <v>53</v>
      </c>
      <c r="B39" s="6" t="n">
        <v>5000</v>
      </c>
      <c r="C39" s="3" t="s">
        <v>54</v>
      </c>
    </row>
    <row r="40" customFormat="false" ht="15" hidden="false" customHeight="false" outlineLevel="0" collapsed="false">
      <c r="A40" s="5" t="s">
        <v>55</v>
      </c>
      <c r="B40" s="6" t="n">
        <v>6000</v>
      </c>
      <c r="C40" s="3" t="s">
        <v>56</v>
      </c>
    </row>
    <row r="41" customFormat="false" ht="15" hidden="false" customHeight="false" outlineLevel="0" collapsed="false">
      <c r="A41" s="5" t="s">
        <v>57</v>
      </c>
      <c r="B41" s="6" t="n">
        <v>8000</v>
      </c>
      <c r="C41" s="3" t="s">
        <v>58</v>
      </c>
    </row>
    <row r="42" customFormat="false" ht="15" hidden="false" customHeight="false" outlineLevel="0" collapsed="false">
      <c r="A42" s="5" t="s">
        <v>59</v>
      </c>
      <c r="B42" s="12" t="n">
        <v>0.06</v>
      </c>
      <c r="C42" s="3" t="s">
        <v>60</v>
      </c>
    </row>
    <row r="43" customFormat="false" ht="15" hidden="false" customHeight="false" outlineLevel="0" collapsed="false">
      <c r="A43" s="5"/>
    </row>
    <row r="44" customFormat="false" ht="15" hidden="false" customHeight="false" outlineLevel="0" collapsed="false">
      <c r="A44" s="4" t="s">
        <v>61</v>
      </c>
    </row>
    <row r="45" customFormat="false" ht="15" hidden="false" customHeight="false" outlineLevel="0" collapsed="false">
      <c r="A45" s="5" t="s">
        <v>62</v>
      </c>
      <c r="B45" s="6" t="n">
        <v>25000</v>
      </c>
      <c r="C45" s="3" t="s">
        <v>63</v>
      </c>
    </row>
    <row r="46" customFormat="false" ht="15" hidden="false" customHeight="false" outlineLevel="0" collapsed="false">
      <c r="A46" s="5" t="s">
        <v>64</v>
      </c>
      <c r="B46" s="7" t="s">
        <v>65</v>
      </c>
      <c r="C46" s="3" t="s">
        <v>66</v>
      </c>
    </row>
    <row r="47" customFormat="false" ht="15" hidden="false" customHeight="false" outlineLevel="0" collapsed="false">
      <c r="A47" s="4" t="s">
        <v>67</v>
      </c>
    </row>
    <row r="48" customFormat="false" ht="15" hidden="false" customHeight="false" outlineLevel="0" collapsed="false">
      <c r="A48" s="5" t="s">
        <v>68</v>
      </c>
      <c r="B48" s="9" t="n">
        <f aca="false">D48/$B$9/12</f>
        <v>2745.09803921569</v>
      </c>
      <c r="C48" s="3" t="s">
        <v>69</v>
      </c>
      <c r="D48" s="10" t="n">
        <v>2800000</v>
      </c>
    </row>
    <row r="49" customFormat="false" ht="15" hidden="false" customHeight="false" outlineLevel="0" collapsed="false">
      <c r="A49" s="5" t="s">
        <v>70</v>
      </c>
      <c r="B49" s="11" t="n">
        <v>11</v>
      </c>
      <c r="C49" s="3" t="s">
        <v>71</v>
      </c>
    </row>
    <row r="50" customFormat="false" ht="15" hidden="false" customHeight="false" outlineLevel="0" collapsed="false">
      <c r="A50" s="5" t="s">
        <v>72</v>
      </c>
      <c r="B50" s="6" t="n">
        <v>2000</v>
      </c>
      <c r="C50" s="3" t="s">
        <v>73</v>
      </c>
    </row>
    <row r="51" customFormat="false" ht="15" hidden="false" customHeight="false" outlineLevel="0" collapsed="false">
      <c r="A51" s="5" t="s">
        <v>74</v>
      </c>
      <c r="B51" s="11" t="n">
        <v>3</v>
      </c>
    </row>
    <row r="52" customFormat="false" ht="15" hidden="false" customHeight="false" outlineLevel="0" collapsed="false">
      <c r="A52" s="5" t="s">
        <v>75</v>
      </c>
      <c r="B52" s="6" t="n">
        <v>10000</v>
      </c>
    </row>
    <row r="53" customFormat="false" ht="15" hidden="false" customHeight="false" outlineLevel="0" collapsed="false">
      <c r="A53" s="5" t="s">
        <v>76</v>
      </c>
      <c r="B53" s="11" t="n"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19" min="2" style="0" width="11"/>
    <col collapsed="false" customWidth="true" hidden="false" outlineLevel="0" max="20" min="20" style="0" width="12"/>
  </cols>
  <sheetData>
    <row r="1" customFormat="false" ht="17.35" hidden="false" customHeight="false" outlineLevel="0" collapsed="false">
      <c r="A1" s="1" t="s">
        <v>77</v>
      </c>
    </row>
    <row r="2" customFormat="false" ht="15" hidden="false" customHeight="false" outlineLevel="0" collapsed="false">
      <c r="A2" s="2" t="s">
        <v>78</v>
      </c>
    </row>
    <row r="4" customFormat="false" ht="15" hidden="false" customHeight="false" outlineLevel="0" collapsed="false">
      <c r="A4" s="13" t="s">
        <v>79</v>
      </c>
      <c r="B4" s="14" t="s">
        <v>80</v>
      </c>
      <c r="C4" s="14" t="s">
        <v>81</v>
      </c>
      <c r="D4" s="14" t="s">
        <v>82</v>
      </c>
      <c r="E4" s="14" t="s">
        <v>83</v>
      </c>
      <c r="F4" s="14" t="s">
        <v>84</v>
      </c>
      <c r="G4" s="14" t="s">
        <v>85</v>
      </c>
      <c r="H4" s="14" t="s">
        <v>86</v>
      </c>
      <c r="I4" s="14" t="s">
        <v>87</v>
      </c>
      <c r="J4" s="14" t="s">
        <v>88</v>
      </c>
      <c r="K4" s="14" t="s">
        <v>89</v>
      </c>
      <c r="L4" s="14" t="s">
        <v>90</v>
      </c>
      <c r="M4" s="14" t="s">
        <v>91</v>
      </c>
      <c r="N4" s="14" t="s">
        <v>92</v>
      </c>
      <c r="O4" s="14" t="s">
        <v>93</v>
      </c>
      <c r="P4" s="14" t="s">
        <v>94</v>
      </c>
      <c r="Q4" s="14" t="s">
        <v>95</v>
      </c>
      <c r="R4" s="14" t="s">
        <v>96</v>
      </c>
      <c r="S4" s="14" t="s">
        <v>97</v>
      </c>
      <c r="T4" s="13" t="s">
        <v>98</v>
      </c>
    </row>
    <row r="5" customFormat="false" ht="15" hidden="false" customHeight="false" outlineLevel="0" collapsed="false">
      <c r="A5" s="4" t="s">
        <v>99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customFormat="false" ht="15" hidden="false" customHeight="false" outlineLevel="0" collapsed="false">
      <c r="A6" s="5" t="s">
        <v>100</v>
      </c>
      <c r="B6" s="9" t="n">
        <f aca="false">IF(1=1,Assumptions!$B$5-Assumptions!$B$6,0)</f>
        <v>1920000</v>
      </c>
      <c r="C6" s="9" t="n">
        <f aca="false">IF(2=1,Assumptions!$B$5-Assumptions!$B$6,0)</f>
        <v>0</v>
      </c>
      <c r="D6" s="9" t="n">
        <f aca="false">IF(3=1,Assumptions!$B$5-Assumptions!$B$6,0)</f>
        <v>0</v>
      </c>
      <c r="E6" s="9" t="n">
        <f aca="false">IF(4=1,Assumptions!$B$5-Assumptions!$B$6,0)</f>
        <v>0</v>
      </c>
      <c r="F6" s="9" t="n">
        <f aca="false">IF(5=1,Assumptions!$B$5-Assumptions!$B$6,0)</f>
        <v>0</v>
      </c>
      <c r="G6" s="9" t="n">
        <f aca="false">IF(6=1,Assumptions!$B$5-Assumptions!$B$6,0)</f>
        <v>0</v>
      </c>
      <c r="H6" s="9" t="n">
        <f aca="false">IF(7=1,Assumptions!$B$5-Assumptions!$B$6,0)</f>
        <v>0</v>
      </c>
      <c r="I6" s="9" t="n">
        <f aca="false">IF(8=1,Assumptions!$B$5-Assumptions!$B$6,0)</f>
        <v>0</v>
      </c>
      <c r="J6" s="9" t="n">
        <f aca="false">IF(9=1,Assumptions!$B$5-Assumptions!$B$6,0)</f>
        <v>0</v>
      </c>
      <c r="K6" s="9" t="n">
        <f aca="false">IF(10=1,Assumptions!$B$5-Assumptions!$B$6,0)</f>
        <v>0</v>
      </c>
      <c r="L6" s="9" t="n">
        <f aca="false">IF(11=1,Assumptions!$B$5-Assumptions!$B$6,0)</f>
        <v>0</v>
      </c>
      <c r="M6" s="9" t="n">
        <f aca="false">IF(12=1,Assumptions!$B$5-Assumptions!$B$6,0)</f>
        <v>0</v>
      </c>
      <c r="N6" s="9" t="n">
        <f aca="false">IF(13=1,Assumptions!$B$5-Assumptions!$B$6,0)</f>
        <v>0</v>
      </c>
      <c r="O6" s="9" t="n">
        <f aca="false">IF(14=1,Assumptions!$B$5-Assumptions!$B$6,0)</f>
        <v>0</v>
      </c>
      <c r="P6" s="9" t="n">
        <f aca="false">IF(15=1,Assumptions!$B$5-Assumptions!$B$6,0)</f>
        <v>0</v>
      </c>
      <c r="Q6" s="9" t="n">
        <f aca="false">IF(16=1,Assumptions!$B$5-Assumptions!$B$6,0)</f>
        <v>0</v>
      </c>
      <c r="R6" s="9" t="n">
        <f aca="false">IF(17=1,Assumptions!$B$5-Assumptions!$B$6,0)</f>
        <v>0</v>
      </c>
      <c r="S6" s="9" t="n">
        <f aca="false">IF(18=1,Assumptions!$B$5-Assumptions!$B$6,0)</f>
        <v>0</v>
      </c>
      <c r="T6" s="16" t="n">
        <f aca="false">SUM(B6:S6)</f>
        <v>1920000</v>
      </c>
    </row>
    <row r="7" customFormat="false" ht="15" hidden="false" customHeight="false" outlineLevel="0" collapsed="false">
      <c r="A7" s="5" t="s">
        <v>101</v>
      </c>
      <c r="B7" s="9" t="n">
        <f aca="false">IF(OR(1=10,1=13,1=16),Assumptions!$B$45,0)</f>
        <v>0</v>
      </c>
      <c r="C7" s="9" t="n">
        <f aca="false">IF(OR(2=10,2=13,2=16),Assumptions!$B$45,0)</f>
        <v>0</v>
      </c>
      <c r="D7" s="9" t="n">
        <f aca="false">IF(OR(3=10,3=13,3=16),Assumptions!$B$45,0)</f>
        <v>0</v>
      </c>
      <c r="E7" s="9" t="n">
        <f aca="false">IF(OR(4=10,4=13,4=16),Assumptions!$B$45,0)</f>
        <v>0</v>
      </c>
      <c r="F7" s="9" t="n">
        <f aca="false">IF(OR(5=10,5=13,5=16),Assumptions!$B$45,0)</f>
        <v>0</v>
      </c>
      <c r="G7" s="9" t="n">
        <f aca="false">IF(OR(6=10,6=13,6=16),Assumptions!$B$45,0)</f>
        <v>0</v>
      </c>
      <c r="H7" s="9" t="n">
        <f aca="false">IF(OR(7=10,7=13,7=16),Assumptions!$B$45,0)</f>
        <v>0</v>
      </c>
      <c r="I7" s="9" t="n">
        <f aca="false">IF(OR(8=10,8=13,8=16),Assumptions!$B$45,0)</f>
        <v>0</v>
      </c>
      <c r="J7" s="9" t="n">
        <f aca="false">IF(OR(9=10,9=13,9=16),Assumptions!$B$45,0)</f>
        <v>0</v>
      </c>
      <c r="K7" s="9" t="n">
        <f aca="false">IF(OR(10=10,10=13,10=16),Assumptions!$B$45,0)</f>
        <v>25000</v>
      </c>
      <c r="L7" s="9" t="n">
        <f aca="false">IF(OR(11=10,11=13,11=16),Assumptions!$B$45,0)</f>
        <v>0</v>
      </c>
      <c r="M7" s="9" t="n">
        <f aca="false">IF(OR(12=10,12=13,12=16),Assumptions!$B$45,0)</f>
        <v>0</v>
      </c>
      <c r="N7" s="9" t="n">
        <f aca="false">IF(OR(13=10,13=13,13=16),Assumptions!$B$45,0)</f>
        <v>25000</v>
      </c>
      <c r="O7" s="9" t="n">
        <f aca="false">IF(OR(14=10,14=13,14=16),Assumptions!$B$45,0)</f>
        <v>0</v>
      </c>
      <c r="P7" s="9" t="n">
        <f aca="false">IF(OR(15=10,15=13,15=16),Assumptions!$B$45,0)</f>
        <v>0</v>
      </c>
      <c r="Q7" s="9" t="n">
        <f aca="false">IF(OR(16=10,16=13,16=16),Assumptions!$B$45,0)</f>
        <v>25000</v>
      </c>
      <c r="R7" s="9" t="n">
        <f aca="false">IF(OR(17=10,17=13,17=16),Assumptions!$B$45,0)</f>
        <v>0</v>
      </c>
      <c r="S7" s="9" t="n">
        <f aca="false">IF(OR(18=10,18=13,18=16),Assumptions!$B$45,0)</f>
        <v>0</v>
      </c>
      <c r="T7" s="16" t="n">
        <f aca="false">SUM(B7:S7)</f>
        <v>75000</v>
      </c>
    </row>
    <row r="8" customFormat="false" ht="15" hidden="false" customHeight="false" outlineLevel="0" collapsed="false">
      <c r="A8" s="4" t="s">
        <v>102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customFormat="false" ht="15" hidden="false" customHeight="false" outlineLevel="0" collapsed="false">
      <c r="A9" s="5" t="s">
        <v>103</v>
      </c>
      <c r="B9" s="9" t="n">
        <f aca="false">IF(1&gt;=Assumptions!$B$21,Assumptions!$B$13,0)</f>
        <v>0</v>
      </c>
      <c r="C9" s="9" t="n">
        <f aca="false">IF(2&gt;=Assumptions!$B$21,Assumptions!$B$13,0)</f>
        <v>10784.3137254902</v>
      </c>
      <c r="D9" s="9" t="n">
        <f aca="false">IF(3&gt;=Assumptions!$B$21,Assumptions!$B$13,0)</f>
        <v>10784.3137254902</v>
      </c>
      <c r="E9" s="9" t="n">
        <f aca="false">IF(4&gt;=Assumptions!$B$21,Assumptions!$B$13,0)</f>
        <v>10784.3137254902</v>
      </c>
      <c r="F9" s="9" t="n">
        <f aca="false">IF(5&gt;=Assumptions!$B$21,Assumptions!$B$13,0)</f>
        <v>10784.3137254902</v>
      </c>
      <c r="G9" s="9" t="n">
        <f aca="false">IF(6&gt;=Assumptions!$B$21,Assumptions!$B$13,0)</f>
        <v>10784.3137254902</v>
      </c>
      <c r="H9" s="9" t="n">
        <f aca="false">IF(7&gt;=Assumptions!$B$21,Assumptions!$B$13,0)</f>
        <v>10784.3137254902</v>
      </c>
      <c r="I9" s="9" t="n">
        <f aca="false">IF(8&gt;=Assumptions!$B$21,Assumptions!$B$13,0)</f>
        <v>10784.3137254902</v>
      </c>
      <c r="J9" s="9" t="n">
        <f aca="false">IF(9&gt;=Assumptions!$B$21,Assumptions!$B$13,0)</f>
        <v>10784.3137254902</v>
      </c>
      <c r="K9" s="9" t="n">
        <f aca="false">IF(10&gt;=Assumptions!$B$21,Assumptions!$B$13,0)</f>
        <v>10784.3137254902</v>
      </c>
      <c r="L9" s="9" t="n">
        <f aca="false">IF(11&gt;=Assumptions!$B$21,Assumptions!$B$13,0)</f>
        <v>10784.3137254902</v>
      </c>
      <c r="M9" s="9" t="n">
        <f aca="false">IF(12&gt;=Assumptions!$B$21,Assumptions!$B$13,0)</f>
        <v>10784.3137254902</v>
      </c>
      <c r="N9" s="9" t="n">
        <f aca="false">IF(13&gt;=Assumptions!$B$21,Assumptions!$B$13,0)</f>
        <v>10784.3137254902</v>
      </c>
      <c r="O9" s="9" t="n">
        <f aca="false">IF(14&gt;=Assumptions!$B$21,Assumptions!$B$13,0)</f>
        <v>10784.3137254902</v>
      </c>
      <c r="P9" s="9" t="n">
        <f aca="false">IF(15&gt;=Assumptions!$B$21,Assumptions!$B$13,0)</f>
        <v>10784.3137254902</v>
      </c>
      <c r="Q9" s="9" t="n">
        <f aca="false">IF(16&gt;=Assumptions!$B$21,Assumptions!$B$13,0)</f>
        <v>10784.3137254902</v>
      </c>
      <c r="R9" s="9" t="n">
        <f aca="false">IF(17&gt;=Assumptions!$B$21,Assumptions!$B$13,0)</f>
        <v>10784.3137254902</v>
      </c>
      <c r="S9" s="9" t="n">
        <f aca="false">IF(18&gt;=Assumptions!$B$21,Assumptions!$B$13,0)</f>
        <v>10784.3137254902</v>
      </c>
      <c r="T9" s="16" t="n">
        <f aca="false">SUM(B9:S9)</f>
        <v>183333.333333333</v>
      </c>
    </row>
    <row r="10" customFormat="false" ht="15" hidden="false" customHeight="false" outlineLevel="0" collapsed="false">
      <c r="A10" s="5" t="s">
        <v>104</v>
      </c>
      <c r="B10" s="9" t="n">
        <f aca="false">IF(1&gt;=Assumptions!$B$22,Assumptions!$B$14,0)</f>
        <v>0</v>
      </c>
      <c r="C10" s="9" t="n">
        <f aca="false">IF(2&gt;=Assumptions!$B$22,Assumptions!$B$14,0)</f>
        <v>0</v>
      </c>
      <c r="D10" s="9" t="n">
        <f aca="false">IF(3&gt;=Assumptions!$B$22,Assumptions!$B$14,0)</f>
        <v>6862.74509803922</v>
      </c>
      <c r="E10" s="9" t="n">
        <f aca="false">IF(4&gt;=Assumptions!$B$22,Assumptions!$B$14,0)</f>
        <v>6862.74509803922</v>
      </c>
      <c r="F10" s="9" t="n">
        <f aca="false">IF(5&gt;=Assumptions!$B$22,Assumptions!$B$14,0)</f>
        <v>6862.74509803922</v>
      </c>
      <c r="G10" s="9" t="n">
        <f aca="false">IF(6&gt;=Assumptions!$B$22,Assumptions!$B$14,0)</f>
        <v>6862.74509803922</v>
      </c>
      <c r="H10" s="9" t="n">
        <f aca="false">IF(7&gt;=Assumptions!$B$22,Assumptions!$B$14,0)</f>
        <v>6862.74509803922</v>
      </c>
      <c r="I10" s="9" t="n">
        <f aca="false">IF(8&gt;=Assumptions!$B$22,Assumptions!$B$14,0)</f>
        <v>6862.74509803922</v>
      </c>
      <c r="J10" s="9" t="n">
        <f aca="false">IF(9&gt;=Assumptions!$B$22,Assumptions!$B$14,0)</f>
        <v>6862.74509803922</v>
      </c>
      <c r="K10" s="9" t="n">
        <f aca="false">IF(10&gt;=Assumptions!$B$22,Assumptions!$B$14,0)</f>
        <v>6862.74509803922</v>
      </c>
      <c r="L10" s="9" t="n">
        <f aca="false">IF(11&gt;=Assumptions!$B$22,Assumptions!$B$14,0)</f>
        <v>6862.74509803922</v>
      </c>
      <c r="M10" s="9" t="n">
        <f aca="false">IF(12&gt;=Assumptions!$B$22,Assumptions!$B$14,0)</f>
        <v>6862.74509803922</v>
      </c>
      <c r="N10" s="9" t="n">
        <f aca="false">IF(13&gt;=Assumptions!$B$22,Assumptions!$B$14,0)</f>
        <v>6862.74509803922</v>
      </c>
      <c r="O10" s="9" t="n">
        <f aca="false">IF(14&gt;=Assumptions!$B$22,Assumptions!$B$14,0)</f>
        <v>6862.74509803922</v>
      </c>
      <c r="P10" s="9" t="n">
        <f aca="false">IF(15&gt;=Assumptions!$B$22,Assumptions!$B$14,0)</f>
        <v>6862.74509803922</v>
      </c>
      <c r="Q10" s="9" t="n">
        <f aca="false">IF(16&gt;=Assumptions!$B$22,Assumptions!$B$14,0)</f>
        <v>6862.74509803922</v>
      </c>
      <c r="R10" s="9" t="n">
        <f aca="false">IF(17&gt;=Assumptions!$B$22,Assumptions!$B$14,0)</f>
        <v>6862.74509803922</v>
      </c>
      <c r="S10" s="9" t="n">
        <f aca="false">IF(18&gt;=Assumptions!$B$22,Assumptions!$B$14,0)</f>
        <v>6862.74509803922</v>
      </c>
      <c r="T10" s="16" t="n">
        <f aca="false">SUM(B10:S10)</f>
        <v>109803.921568627</v>
      </c>
    </row>
    <row r="11" customFormat="false" ht="15" hidden="false" customHeight="false" outlineLevel="0" collapsed="false">
      <c r="A11" s="5" t="s">
        <v>22</v>
      </c>
      <c r="B11" s="9" t="n">
        <f aca="false">IF(1&gt;=Assumptions!$B$23,Assumptions!$B$15,0)</f>
        <v>0</v>
      </c>
      <c r="C11" s="9" t="n">
        <f aca="false">IF(2&gt;=Assumptions!$B$23,Assumptions!$B$15,0)</f>
        <v>0</v>
      </c>
      <c r="D11" s="9" t="n">
        <f aca="false">IF(3&gt;=Assumptions!$B$23,Assumptions!$B$15,0)</f>
        <v>0</v>
      </c>
      <c r="E11" s="9" t="n">
        <f aca="false">IF(4&gt;=Assumptions!$B$23,Assumptions!$B$15,0)</f>
        <v>6862.74509803922</v>
      </c>
      <c r="F11" s="9" t="n">
        <f aca="false">IF(5&gt;=Assumptions!$B$23,Assumptions!$B$15,0)</f>
        <v>6862.74509803922</v>
      </c>
      <c r="G11" s="9" t="n">
        <f aca="false">IF(6&gt;=Assumptions!$B$23,Assumptions!$B$15,0)</f>
        <v>6862.74509803922</v>
      </c>
      <c r="H11" s="9" t="n">
        <f aca="false">IF(7&gt;=Assumptions!$B$23,Assumptions!$B$15,0)</f>
        <v>6862.74509803922</v>
      </c>
      <c r="I11" s="9" t="n">
        <f aca="false">IF(8&gt;=Assumptions!$B$23,Assumptions!$B$15,0)</f>
        <v>6862.74509803922</v>
      </c>
      <c r="J11" s="9" t="n">
        <f aca="false">IF(9&gt;=Assumptions!$B$23,Assumptions!$B$15,0)</f>
        <v>6862.74509803922</v>
      </c>
      <c r="K11" s="9" t="n">
        <f aca="false">IF(10&gt;=Assumptions!$B$23,Assumptions!$B$15,0)</f>
        <v>6862.74509803922</v>
      </c>
      <c r="L11" s="9" t="n">
        <f aca="false">IF(11&gt;=Assumptions!$B$23,Assumptions!$B$15,0)</f>
        <v>6862.74509803922</v>
      </c>
      <c r="M11" s="9" t="n">
        <f aca="false">IF(12&gt;=Assumptions!$B$23,Assumptions!$B$15,0)</f>
        <v>6862.74509803922</v>
      </c>
      <c r="N11" s="9" t="n">
        <f aca="false">IF(13&gt;=Assumptions!$B$23,Assumptions!$B$15,0)</f>
        <v>6862.74509803922</v>
      </c>
      <c r="O11" s="9" t="n">
        <f aca="false">IF(14&gt;=Assumptions!$B$23,Assumptions!$B$15,0)</f>
        <v>6862.74509803922</v>
      </c>
      <c r="P11" s="9" t="n">
        <f aca="false">IF(15&gt;=Assumptions!$B$23,Assumptions!$B$15,0)</f>
        <v>6862.74509803922</v>
      </c>
      <c r="Q11" s="9" t="n">
        <f aca="false">IF(16&gt;=Assumptions!$B$23,Assumptions!$B$15,0)</f>
        <v>6862.74509803922</v>
      </c>
      <c r="R11" s="9" t="n">
        <f aca="false">IF(17&gt;=Assumptions!$B$23,Assumptions!$B$15,0)</f>
        <v>6862.74509803922</v>
      </c>
      <c r="S11" s="9" t="n">
        <f aca="false">IF(18&gt;=Assumptions!$B$23,Assumptions!$B$15,0)</f>
        <v>6862.74509803922</v>
      </c>
      <c r="T11" s="16" t="n">
        <f aca="false">SUM(B11:S11)</f>
        <v>102941.176470588</v>
      </c>
    </row>
    <row r="12" customFormat="false" ht="15" hidden="false" customHeight="false" outlineLevel="0" collapsed="false">
      <c r="A12" s="5" t="s">
        <v>105</v>
      </c>
      <c r="B12" s="9" t="n">
        <f aca="false">IF(1&gt;=Assumptions!$B$24,Assumptions!$B$16,0)</f>
        <v>0</v>
      </c>
      <c r="C12" s="9" t="n">
        <f aca="false">IF(2&gt;=Assumptions!$B$24,Assumptions!$B$16,0)</f>
        <v>0</v>
      </c>
      <c r="D12" s="9" t="n">
        <f aca="false">IF(3&gt;=Assumptions!$B$24,Assumptions!$B$16,0)</f>
        <v>5392.1568627451</v>
      </c>
      <c r="E12" s="9" t="n">
        <f aca="false">IF(4&gt;=Assumptions!$B$24,Assumptions!$B$16,0)</f>
        <v>5392.1568627451</v>
      </c>
      <c r="F12" s="9" t="n">
        <f aca="false">IF(5&gt;=Assumptions!$B$24,Assumptions!$B$16,0)</f>
        <v>5392.1568627451</v>
      </c>
      <c r="G12" s="9" t="n">
        <f aca="false">IF(6&gt;=Assumptions!$B$24,Assumptions!$B$16,0)</f>
        <v>5392.1568627451</v>
      </c>
      <c r="H12" s="9" t="n">
        <f aca="false">IF(7&gt;=Assumptions!$B$24,Assumptions!$B$16,0)</f>
        <v>5392.1568627451</v>
      </c>
      <c r="I12" s="9" t="n">
        <f aca="false">IF(8&gt;=Assumptions!$B$24,Assumptions!$B$16,0)</f>
        <v>5392.1568627451</v>
      </c>
      <c r="J12" s="9" t="n">
        <f aca="false">IF(9&gt;=Assumptions!$B$24,Assumptions!$B$16,0)</f>
        <v>5392.1568627451</v>
      </c>
      <c r="K12" s="9" t="n">
        <f aca="false">IF(10&gt;=Assumptions!$B$24,Assumptions!$B$16,0)</f>
        <v>5392.1568627451</v>
      </c>
      <c r="L12" s="9" t="n">
        <f aca="false">IF(11&gt;=Assumptions!$B$24,Assumptions!$B$16,0)</f>
        <v>5392.1568627451</v>
      </c>
      <c r="M12" s="9" t="n">
        <f aca="false">IF(12&gt;=Assumptions!$B$24,Assumptions!$B$16,0)</f>
        <v>5392.1568627451</v>
      </c>
      <c r="N12" s="9" t="n">
        <f aca="false">IF(13&gt;=Assumptions!$B$24,Assumptions!$B$16,0)</f>
        <v>5392.1568627451</v>
      </c>
      <c r="O12" s="9" t="n">
        <f aca="false">IF(14&gt;=Assumptions!$B$24,Assumptions!$B$16,0)</f>
        <v>5392.1568627451</v>
      </c>
      <c r="P12" s="9" t="n">
        <f aca="false">IF(15&gt;=Assumptions!$B$24,Assumptions!$B$16,0)</f>
        <v>5392.1568627451</v>
      </c>
      <c r="Q12" s="9" t="n">
        <f aca="false">IF(16&gt;=Assumptions!$B$24,Assumptions!$B$16,0)</f>
        <v>5392.1568627451</v>
      </c>
      <c r="R12" s="9" t="n">
        <f aca="false">IF(17&gt;=Assumptions!$B$24,Assumptions!$B$16,0)</f>
        <v>5392.1568627451</v>
      </c>
      <c r="S12" s="9" t="n">
        <f aca="false">IF(18&gt;=Assumptions!$B$24,Assumptions!$B$16,0)</f>
        <v>5392.1568627451</v>
      </c>
      <c r="T12" s="16" t="n">
        <f aca="false">SUM(B12:S12)</f>
        <v>86274.5098039216</v>
      </c>
    </row>
    <row r="13" customFormat="false" ht="15" hidden="false" customHeight="false" outlineLevel="0" collapsed="false">
      <c r="A13" s="5" t="s">
        <v>106</v>
      </c>
      <c r="B13" s="9" t="n">
        <f aca="false">IF(AND(1&gt;=Assumptions!$B$25,Assumptions!$B$17&gt;=2),Assumptions!$B$16,0)</f>
        <v>0</v>
      </c>
      <c r="C13" s="9" t="n">
        <f aca="false">IF(AND(2&gt;=Assumptions!$B$25,Assumptions!$B$17&gt;=2),Assumptions!$B$16,0)</f>
        <v>0</v>
      </c>
      <c r="D13" s="9" t="n">
        <f aca="false">IF(AND(3&gt;=Assumptions!$B$25,Assumptions!$B$17&gt;=2),Assumptions!$B$16,0)</f>
        <v>0</v>
      </c>
      <c r="E13" s="9" t="n">
        <f aca="false">IF(AND(4&gt;=Assumptions!$B$25,Assumptions!$B$17&gt;=2),Assumptions!$B$16,0)</f>
        <v>0</v>
      </c>
      <c r="F13" s="9" t="n">
        <f aca="false">IF(AND(5&gt;=Assumptions!$B$25,Assumptions!$B$17&gt;=2),Assumptions!$B$16,0)</f>
        <v>5392.1568627451</v>
      </c>
      <c r="G13" s="9" t="n">
        <f aca="false">IF(AND(6&gt;=Assumptions!$B$25,Assumptions!$B$17&gt;=2),Assumptions!$B$16,0)</f>
        <v>5392.1568627451</v>
      </c>
      <c r="H13" s="9" t="n">
        <f aca="false">IF(AND(7&gt;=Assumptions!$B$25,Assumptions!$B$17&gt;=2),Assumptions!$B$16,0)</f>
        <v>5392.1568627451</v>
      </c>
      <c r="I13" s="9" t="n">
        <f aca="false">IF(AND(8&gt;=Assumptions!$B$25,Assumptions!$B$17&gt;=2),Assumptions!$B$16,0)</f>
        <v>5392.1568627451</v>
      </c>
      <c r="J13" s="9" t="n">
        <f aca="false">IF(AND(9&gt;=Assumptions!$B$25,Assumptions!$B$17&gt;=2),Assumptions!$B$16,0)</f>
        <v>5392.1568627451</v>
      </c>
      <c r="K13" s="9" t="n">
        <f aca="false">IF(AND(10&gt;=Assumptions!$B$25,Assumptions!$B$17&gt;=2),Assumptions!$B$16,0)</f>
        <v>5392.1568627451</v>
      </c>
      <c r="L13" s="9" t="n">
        <f aca="false">IF(AND(11&gt;=Assumptions!$B$25,Assumptions!$B$17&gt;=2),Assumptions!$B$16,0)</f>
        <v>5392.1568627451</v>
      </c>
      <c r="M13" s="9" t="n">
        <f aca="false">IF(AND(12&gt;=Assumptions!$B$25,Assumptions!$B$17&gt;=2),Assumptions!$B$16,0)</f>
        <v>5392.1568627451</v>
      </c>
      <c r="N13" s="9" t="n">
        <f aca="false">IF(AND(13&gt;=Assumptions!$B$25,Assumptions!$B$17&gt;=2),Assumptions!$B$16,0)</f>
        <v>5392.1568627451</v>
      </c>
      <c r="O13" s="9" t="n">
        <f aca="false">IF(AND(14&gt;=Assumptions!$B$25,Assumptions!$B$17&gt;=2),Assumptions!$B$16,0)</f>
        <v>5392.1568627451</v>
      </c>
      <c r="P13" s="9" t="n">
        <f aca="false">IF(AND(15&gt;=Assumptions!$B$25,Assumptions!$B$17&gt;=2),Assumptions!$B$16,0)</f>
        <v>5392.1568627451</v>
      </c>
      <c r="Q13" s="9" t="n">
        <f aca="false">IF(AND(16&gt;=Assumptions!$B$25,Assumptions!$B$17&gt;=2),Assumptions!$B$16,0)</f>
        <v>5392.1568627451</v>
      </c>
      <c r="R13" s="9" t="n">
        <f aca="false">IF(AND(17&gt;=Assumptions!$B$25,Assumptions!$B$17&gt;=2),Assumptions!$B$16,0)</f>
        <v>5392.1568627451</v>
      </c>
      <c r="S13" s="9" t="n">
        <f aca="false">IF(AND(18&gt;=Assumptions!$B$25,Assumptions!$B$17&gt;=2),Assumptions!$B$16,0)</f>
        <v>5392.1568627451</v>
      </c>
      <c r="T13" s="16" t="n">
        <f aca="false">SUM(B13:S13)</f>
        <v>75490.1960784314</v>
      </c>
    </row>
    <row r="14" customFormat="false" ht="15" hidden="false" customHeight="false" outlineLevel="0" collapsed="false">
      <c r="A14" s="5" t="s">
        <v>107</v>
      </c>
      <c r="B14" s="9" t="n">
        <f aca="false">IF(AND(1&gt;=Assumptions!$B$26,Assumptions!$B$17&gt;=3),Assumptions!$B$16,0)</f>
        <v>0</v>
      </c>
      <c r="C14" s="9" t="n">
        <f aca="false">IF(AND(2&gt;=Assumptions!$B$26,Assumptions!$B$17&gt;=3),Assumptions!$B$16,0)</f>
        <v>0</v>
      </c>
      <c r="D14" s="9" t="n">
        <f aca="false">IF(AND(3&gt;=Assumptions!$B$26,Assumptions!$B$17&gt;=3),Assumptions!$B$16,0)</f>
        <v>0</v>
      </c>
      <c r="E14" s="9" t="n">
        <f aca="false">IF(AND(4&gt;=Assumptions!$B$26,Assumptions!$B$17&gt;=3),Assumptions!$B$16,0)</f>
        <v>0</v>
      </c>
      <c r="F14" s="9" t="n">
        <f aca="false">IF(AND(5&gt;=Assumptions!$B$26,Assumptions!$B$17&gt;=3),Assumptions!$B$16,0)</f>
        <v>0</v>
      </c>
      <c r="G14" s="9" t="n">
        <f aca="false">IF(AND(6&gt;=Assumptions!$B$26,Assumptions!$B$17&gt;=3),Assumptions!$B$16,0)</f>
        <v>0</v>
      </c>
      <c r="H14" s="9" t="n">
        <f aca="false">IF(AND(7&gt;=Assumptions!$B$26,Assumptions!$B$17&gt;=3),Assumptions!$B$16,0)</f>
        <v>0</v>
      </c>
      <c r="I14" s="9" t="n">
        <f aca="false">IF(AND(8&gt;=Assumptions!$B$26,Assumptions!$B$17&gt;=3),Assumptions!$B$16,0)</f>
        <v>5392.1568627451</v>
      </c>
      <c r="J14" s="9" t="n">
        <f aca="false">IF(AND(9&gt;=Assumptions!$B$26,Assumptions!$B$17&gt;=3),Assumptions!$B$16,0)</f>
        <v>5392.1568627451</v>
      </c>
      <c r="K14" s="9" t="n">
        <f aca="false">IF(AND(10&gt;=Assumptions!$B$26,Assumptions!$B$17&gt;=3),Assumptions!$B$16,0)</f>
        <v>5392.1568627451</v>
      </c>
      <c r="L14" s="9" t="n">
        <f aca="false">IF(AND(11&gt;=Assumptions!$B$26,Assumptions!$B$17&gt;=3),Assumptions!$B$16,0)</f>
        <v>5392.1568627451</v>
      </c>
      <c r="M14" s="9" t="n">
        <f aca="false">IF(AND(12&gt;=Assumptions!$B$26,Assumptions!$B$17&gt;=3),Assumptions!$B$16,0)</f>
        <v>5392.1568627451</v>
      </c>
      <c r="N14" s="9" t="n">
        <f aca="false">IF(AND(13&gt;=Assumptions!$B$26,Assumptions!$B$17&gt;=3),Assumptions!$B$16,0)</f>
        <v>5392.1568627451</v>
      </c>
      <c r="O14" s="9" t="n">
        <f aca="false">IF(AND(14&gt;=Assumptions!$B$26,Assumptions!$B$17&gt;=3),Assumptions!$B$16,0)</f>
        <v>5392.1568627451</v>
      </c>
      <c r="P14" s="9" t="n">
        <f aca="false">IF(AND(15&gt;=Assumptions!$B$26,Assumptions!$B$17&gt;=3),Assumptions!$B$16,0)</f>
        <v>5392.1568627451</v>
      </c>
      <c r="Q14" s="9" t="n">
        <f aca="false">IF(AND(16&gt;=Assumptions!$B$26,Assumptions!$B$17&gt;=3),Assumptions!$B$16,0)</f>
        <v>5392.1568627451</v>
      </c>
      <c r="R14" s="9" t="n">
        <f aca="false">IF(AND(17&gt;=Assumptions!$B$26,Assumptions!$B$17&gt;=3),Assumptions!$B$16,0)</f>
        <v>5392.1568627451</v>
      </c>
      <c r="S14" s="9" t="n">
        <f aca="false">IF(AND(18&gt;=Assumptions!$B$26,Assumptions!$B$17&gt;=3),Assumptions!$B$16,0)</f>
        <v>5392.1568627451</v>
      </c>
      <c r="T14" s="16" t="n">
        <f aca="false">SUM(B14:S14)</f>
        <v>59313.7254901961</v>
      </c>
    </row>
    <row r="15" customFormat="false" ht="15" hidden="false" customHeight="false" outlineLevel="0" collapsed="false">
      <c r="A15" s="5" t="s">
        <v>108</v>
      </c>
      <c r="B15" s="9" t="n">
        <f aca="false">Assumptions!$B$18</f>
        <v>6000</v>
      </c>
      <c r="C15" s="9" t="n">
        <f aca="false">Assumptions!$B$18</f>
        <v>6000</v>
      </c>
      <c r="D15" s="9" t="n">
        <f aca="false">Assumptions!$B$18</f>
        <v>6000</v>
      </c>
      <c r="E15" s="9" t="n">
        <f aca="false">Assumptions!$B$18</f>
        <v>6000</v>
      </c>
      <c r="F15" s="9" t="n">
        <f aca="false">Assumptions!$B$18</f>
        <v>6000</v>
      </c>
      <c r="G15" s="9" t="n">
        <f aca="false">Assumptions!$B$18</f>
        <v>6000</v>
      </c>
      <c r="H15" s="9" t="n">
        <f aca="false">Assumptions!$B$18</f>
        <v>6000</v>
      </c>
      <c r="I15" s="9" t="n">
        <f aca="false">Assumptions!$B$18</f>
        <v>6000</v>
      </c>
      <c r="J15" s="9" t="n">
        <f aca="false">Assumptions!$B$18</f>
        <v>6000</v>
      </c>
      <c r="K15" s="9" t="n">
        <f aca="false">Assumptions!$B$18</f>
        <v>6000</v>
      </c>
      <c r="L15" s="9" t="n">
        <f aca="false">Assumptions!$B$18</f>
        <v>6000</v>
      </c>
      <c r="M15" s="9" t="n">
        <f aca="false">Assumptions!$B$18</f>
        <v>6000</v>
      </c>
      <c r="N15" s="9" t="n">
        <f aca="false">Assumptions!$B$18</f>
        <v>6000</v>
      </c>
      <c r="O15" s="9" t="n">
        <f aca="false">Assumptions!$B$18</f>
        <v>6000</v>
      </c>
      <c r="P15" s="9" t="n">
        <f aca="false">Assumptions!$B$18</f>
        <v>6000</v>
      </c>
      <c r="Q15" s="9" t="n">
        <f aca="false">Assumptions!$B$18</f>
        <v>6000</v>
      </c>
      <c r="R15" s="9" t="n">
        <f aca="false">Assumptions!$B$18</f>
        <v>6000</v>
      </c>
      <c r="S15" s="9" t="n">
        <f aca="false">Assumptions!$B$18</f>
        <v>6000</v>
      </c>
      <c r="T15" s="16" t="n">
        <f aca="false">SUM(B15:S15)</f>
        <v>108000</v>
      </c>
    </row>
    <row r="16" customFormat="false" ht="15" hidden="false" customHeight="false" outlineLevel="0" collapsed="false">
      <c r="A16" s="4" t="s">
        <v>109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customFormat="false" ht="15" hidden="false" customHeight="false" outlineLevel="0" collapsed="false">
      <c r="A17" s="5" t="s">
        <v>110</v>
      </c>
      <c r="B17" s="9" t="n">
        <f aca="false">Assumptions!$B$29</f>
        <v>6000</v>
      </c>
      <c r="C17" s="9" t="n">
        <f aca="false">Assumptions!$B$29</f>
        <v>6000</v>
      </c>
      <c r="D17" s="9" t="n">
        <f aca="false">Assumptions!$B$29</f>
        <v>6000</v>
      </c>
      <c r="E17" s="9" t="n">
        <f aca="false">Assumptions!$B$29</f>
        <v>6000</v>
      </c>
      <c r="F17" s="9" t="n">
        <f aca="false">Assumptions!$B$29</f>
        <v>6000</v>
      </c>
      <c r="G17" s="9" t="n">
        <f aca="false">Assumptions!$B$29</f>
        <v>6000</v>
      </c>
      <c r="H17" s="9" t="n">
        <f aca="false">Assumptions!$B$29</f>
        <v>6000</v>
      </c>
      <c r="I17" s="9" t="n">
        <f aca="false">Assumptions!$B$29</f>
        <v>6000</v>
      </c>
      <c r="J17" s="9" t="n">
        <f aca="false">Assumptions!$B$29</f>
        <v>6000</v>
      </c>
      <c r="K17" s="9" t="n">
        <f aca="false">Assumptions!$B$29</f>
        <v>6000</v>
      </c>
      <c r="L17" s="9" t="n">
        <f aca="false">Assumptions!$B$29</f>
        <v>6000</v>
      </c>
      <c r="M17" s="9" t="n">
        <f aca="false">Assumptions!$B$29</f>
        <v>6000</v>
      </c>
      <c r="N17" s="9" t="n">
        <f aca="false">Assumptions!$B$29</f>
        <v>6000</v>
      </c>
      <c r="O17" s="9" t="n">
        <f aca="false">Assumptions!$B$29</f>
        <v>6000</v>
      </c>
      <c r="P17" s="9" t="n">
        <f aca="false">Assumptions!$B$29</f>
        <v>6000</v>
      </c>
      <c r="Q17" s="9" t="n">
        <f aca="false">Assumptions!$B$29</f>
        <v>6000</v>
      </c>
      <c r="R17" s="9" t="n">
        <f aca="false">Assumptions!$B$29</f>
        <v>6000</v>
      </c>
      <c r="S17" s="9" t="n">
        <f aca="false">Assumptions!$B$29</f>
        <v>6000</v>
      </c>
      <c r="T17" s="16" t="n">
        <f aca="false">SUM(B17:S17)</f>
        <v>108000</v>
      </c>
    </row>
    <row r="18" customFormat="false" ht="15" hidden="false" customHeight="false" outlineLevel="0" collapsed="false">
      <c r="A18" s="5" t="s">
        <v>111</v>
      </c>
      <c r="B18" s="9" t="n">
        <f aca="false">Assumptions!$B$30</f>
        <v>4000</v>
      </c>
      <c r="C18" s="9" t="n">
        <f aca="false">Assumptions!$B$30</f>
        <v>4000</v>
      </c>
      <c r="D18" s="9" t="n">
        <f aca="false">Assumptions!$B$30</f>
        <v>4000</v>
      </c>
      <c r="E18" s="9" t="n">
        <f aca="false">Assumptions!$B$30</f>
        <v>4000</v>
      </c>
      <c r="F18" s="9" t="n">
        <f aca="false">Assumptions!$B$30</f>
        <v>4000</v>
      </c>
      <c r="G18" s="9" t="n">
        <f aca="false">Assumptions!$B$30</f>
        <v>4000</v>
      </c>
      <c r="H18" s="9" t="n">
        <f aca="false">Assumptions!$B$30</f>
        <v>4000</v>
      </c>
      <c r="I18" s="9" t="n">
        <f aca="false">Assumptions!$B$30</f>
        <v>4000</v>
      </c>
      <c r="J18" s="9" t="n">
        <f aca="false">Assumptions!$B$30</f>
        <v>4000</v>
      </c>
      <c r="K18" s="9" t="n">
        <f aca="false">Assumptions!$B$30</f>
        <v>4000</v>
      </c>
      <c r="L18" s="9" t="n">
        <f aca="false">Assumptions!$B$30</f>
        <v>4000</v>
      </c>
      <c r="M18" s="9" t="n">
        <f aca="false">Assumptions!$B$30</f>
        <v>4000</v>
      </c>
      <c r="N18" s="9" t="n">
        <f aca="false">Assumptions!$B$30</f>
        <v>4000</v>
      </c>
      <c r="O18" s="9" t="n">
        <f aca="false">Assumptions!$B$30</f>
        <v>4000</v>
      </c>
      <c r="P18" s="9" t="n">
        <f aca="false">Assumptions!$B$30</f>
        <v>4000</v>
      </c>
      <c r="Q18" s="9" t="n">
        <f aca="false">Assumptions!$B$30</f>
        <v>4000</v>
      </c>
      <c r="R18" s="9" t="n">
        <f aca="false">Assumptions!$B$30</f>
        <v>4000</v>
      </c>
      <c r="S18" s="9" t="n">
        <f aca="false">Assumptions!$B$30</f>
        <v>4000</v>
      </c>
      <c r="T18" s="16" t="n">
        <f aca="false">SUM(B18:S18)</f>
        <v>72000</v>
      </c>
    </row>
    <row r="19" customFormat="false" ht="15" hidden="false" customHeight="false" outlineLevel="0" collapsed="false">
      <c r="A19" s="5" t="s">
        <v>112</v>
      </c>
      <c r="B19" s="9" t="n">
        <f aca="false">Assumptions!$B$31</f>
        <v>1500</v>
      </c>
      <c r="C19" s="9" t="n">
        <f aca="false">Assumptions!$B$31</f>
        <v>1500</v>
      </c>
      <c r="D19" s="9" t="n">
        <f aca="false">Assumptions!$B$31</f>
        <v>1500</v>
      </c>
      <c r="E19" s="9" t="n">
        <f aca="false">Assumptions!$B$31</f>
        <v>1500</v>
      </c>
      <c r="F19" s="9" t="n">
        <f aca="false">Assumptions!$B$31</f>
        <v>1500</v>
      </c>
      <c r="G19" s="9" t="n">
        <f aca="false">Assumptions!$B$31</f>
        <v>1500</v>
      </c>
      <c r="H19" s="9" t="n">
        <f aca="false">Assumptions!$B$31</f>
        <v>1500</v>
      </c>
      <c r="I19" s="9" t="n">
        <f aca="false">Assumptions!$B$31</f>
        <v>1500</v>
      </c>
      <c r="J19" s="9" t="n">
        <f aca="false">Assumptions!$B$31</f>
        <v>1500</v>
      </c>
      <c r="K19" s="9" t="n">
        <f aca="false">Assumptions!$B$31</f>
        <v>1500</v>
      </c>
      <c r="L19" s="9" t="n">
        <f aca="false">Assumptions!$B$31</f>
        <v>1500</v>
      </c>
      <c r="M19" s="9" t="n">
        <f aca="false">Assumptions!$B$31</f>
        <v>1500</v>
      </c>
      <c r="N19" s="9" t="n">
        <f aca="false">Assumptions!$B$31</f>
        <v>1500</v>
      </c>
      <c r="O19" s="9" t="n">
        <f aca="false">Assumptions!$B$31</f>
        <v>1500</v>
      </c>
      <c r="P19" s="9" t="n">
        <f aca="false">Assumptions!$B$31</f>
        <v>1500</v>
      </c>
      <c r="Q19" s="9" t="n">
        <f aca="false">Assumptions!$B$31</f>
        <v>1500</v>
      </c>
      <c r="R19" s="9" t="n">
        <f aca="false">Assumptions!$B$31</f>
        <v>1500</v>
      </c>
      <c r="S19" s="9" t="n">
        <f aca="false">Assumptions!$B$31</f>
        <v>1500</v>
      </c>
      <c r="T19" s="16" t="n">
        <f aca="false">SUM(B19:S19)</f>
        <v>27000</v>
      </c>
    </row>
    <row r="20" customFormat="false" ht="15" hidden="false" customHeight="false" outlineLevel="0" collapsed="false">
      <c r="A20" s="5" t="s">
        <v>113</v>
      </c>
      <c r="B20" s="9" t="n">
        <f aca="false">Assumptions!$B$32</f>
        <v>1500</v>
      </c>
      <c r="C20" s="9" t="n">
        <f aca="false">Assumptions!$B$32</f>
        <v>1500</v>
      </c>
      <c r="D20" s="9" t="n">
        <f aca="false">Assumptions!$B$32</f>
        <v>1500</v>
      </c>
      <c r="E20" s="9" t="n">
        <f aca="false">Assumptions!$B$32</f>
        <v>1500</v>
      </c>
      <c r="F20" s="9" t="n">
        <f aca="false">Assumptions!$B$32</f>
        <v>1500</v>
      </c>
      <c r="G20" s="9" t="n">
        <f aca="false">Assumptions!$B$32</f>
        <v>1500</v>
      </c>
      <c r="H20" s="9" t="n">
        <f aca="false">Assumptions!$B$32</f>
        <v>1500</v>
      </c>
      <c r="I20" s="9" t="n">
        <f aca="false">Assumptions!$B$32</f>
        <v>1500</v>
      </c>
      <c r="J20" s="9" t="n">
        <f aca="false">Assumptions!$B$32</f>
        <v>1500</v>
      </c>
      <c r="K20" s="9" t="n">
        <f aca="false">Assumptions!$B$32</f>
        <v>1500</v>
      </c>
      <c r="L20" s="9" t="n">
        <f aca="false">Assumptions!$B$32</f>
        <v>1500</v>
      </c>
      <c r="M20" s="9" t="n">
        <f aca="false">Assumptions!$B$32</f>
        <v>1500</v>
      </c>
      <c r="N20" s="9" t="n">
        <f aca="false">Assumptions!$B$32</f>
        <v>1500</v>
      </c>
      <c r="O20" s="9" t="n">
        <f aca="false">Assumptions!$B$32</f>
        <v>1500</v>
      </c>
      <c r="P20" s="9" t="n">
        <f aca="false">Assumptions!$B$32</f>
        <v>1500</v>
      </c>
      <c r="Q20" s="9" t="n">
        <f aca="false">Assumptions!$B$32</f>
        <v>1500</v>
      </c>
      <c r="R20" s="9" t="n">
        <f aca="false">Assumptions!$B$32</f>
        <v>1500</v>
      </c>
      <c r="S20" s="9" t="n">
        <f aca="false">Assumptions!$B$32</f>
        <v>1500</v>
      </c>
      <c r="T20" s="16" t="n">
        <f aca="false">SUM(B20:S20)</f>
        <v>27000</v>
      </c>
    </row>
    <row r="21" customFormat="false" ht="15" hidden="false" customHeight="false" outlineLevel="0" collapsed="false">
      <c r="A21" s="5" t="s">
        <v>114</v>
      </c>
      <c r="B21" s="9" t="n">
        <f aca="false">IF(1&gt;=3,Assumptions!$B$40,0)</f>
        <v>0</v>
      </c>
      <c r="C21" s="9" t="n">
        <f aca="false">IF(2&gt;=3,Assumptions!$B$40,0)</f>
        <v>0</v>
      </c>
      <c r="D21" s="9" t="n">
        <f aca="false">IF(3&gt;=3,Assumptions!$B$40,0)</f>
        <v>6000</v>
      </c>
      <c r="E21" s="9" t="n">
        <f aca="false">IF(4&gt;=3,Assumptions!$B$40,0)</f>
        <v>6000</v>
      </c>
      <c r="F21" s="9" t="n">
        <f aca="false">IF(5&gt;=3,Assumptions!$B$40,0)</f>
        <v>6000</v>
      </c>
      <c r="G21" s="9" t="n">
        <f aca="false">IF(6&gt;=3,Assumptions!$B$40,0)</f>
        <v>6000</v>
      </c>
      <c r="H21" s="9" t="n">
        <f aca="false">IF(7&gt;=3,Assumptions!$B$40,0)</f>
        <v>6000</v>
      </c>
      <c r="I21" s="9" t="n">
        <f aca="false">IF(8&gt;=3,Assumptions!$B$40,0)</f>
        <v>6000</v>
      </c>
      <c r="J21" s="9" t="n">
        <f aca="false">IF(9&gt;=3,Assumptions!$B$40,0)</f>
        <v>6000</v>
      </c>
      <c r="K21" s="9" t="n">
        <f aca="false">IF(10&gt;=3,Assumptions!$B$40,0)</f>
        <v>6000</v>
      </c>
      <c r="L21" s="9" t="n">
        <f aca="false">IF(11&gt;=3,Assumptions!$B$40,0)</f>
        <v>6000</v>
      </c>
      <c r="M21" s="9" t="n">
        <f aca="false">IF(12&gt;=3,Assumptions!$B$40,0)</f>
        <v>6000</v>
      </c>
      <c r="N21" s="9" t="n">
        <f aca="false">IF(13&gt;=3,Assumptions!$B$40,0)</f>
        <v>6000</v>
      </c>
      <c r="O21" s="9" t="n">
        <f aca="false">IF(14&gt;=3,Assumptions!$B$40,0)</f>
        <v>6000</v>
      </c>
      <c r="P21" s="9" t="n">
        <f aca="false">IF(15&gt;=3,Assumptions!$B$40,0)</f>
        <v>6000</v>
      </c>
      <c r="Q21" s="9" t="n">
        <f aca="false">IF(16&gt;=3,Assumptions!$B$40,0)</f>
        <v>6000</v>
      </c>
      <c r="R21" s="9" t="n">
        <f aca="false">IF(17&gt;=3,Assumptions!$B$40,0)</f>
        <v>6000</v>
      </c>
      <c r="S21" s="9" t="n">
        <f aca="false">IF(18&gt;=3,Assumptions!$B$40,0)</f>
        <v>6000</v>
      </c>
      <c r="T21" s="16" t="n">
        <f aca="false">SUM(B21:S21)</f>
        <v>96000</v>
      </c>
    </row>
    <row r="22" customFormat="false" ht="15" hidden="false" customHeight="false" outlineLevel="0" collapsed="false">
      <c r="A22" s="5" t="s">
        <v>115</v>
      </c>
      <c r="B22" s="9" t="n">
        <f aca="false">IF(1&gt;=4,Assumptions!$B$39,0)</f>
        <v>0</v>
      </c>
      <c r="C22" s="9" t="n">
        <f aca="false">IF(2&gt;=4,Assumptions!$B$39,0)</f>
        <v>0</v>
      </c>
      <c r="D22" s="9" t="n">
        <f aca="false">IF(3&gt;=4,Assumptions!$B$39,0)</f>
        <v>0</v>
      </c>
      <c r="E22" s="9" t="n">
        <f aca="false">IF(4&gt;=4,Assumptions!$B$39,0)</f>
        <v>5000</v>
      </c>
      <c r="F22" s="9" t="n">
        <f aca="false">IF(5&gt;=4,Assumptions!$B$39,0)</f>
        <v>5000</v>
      </c>
      <c r="G22" s="9" t="n">
        <f aca="false">IF(6&gt;=4,Assumptions!$B$39,0)</f>
        <v>5000</v>
      </c>
      <c r="H22" s="9" t="n">
        <f aca="false">IF(7&gt;=4,Assumptions!$B$39,0)</f>
        <v>5000</v>
      </c>
      <c r="I22" s="9" t="n">
        <f aca="false">IF(8&gt;=4,Assumptions!$B$39,0)</f>
        <v>5000</v>
      </c>
      <c r="J22" s="9" t="n">
        <f aca="false">IF(9&gt;=4,Assumptions!$B$39,0)</f>
        <v>5000</v>
      </c>
      <c r="K22" s="9" t="n">
        <f aca="false">IF(10&gt;=4,Assumptions!$B$39,0)</f>
        <v>5000</v>
      </c>
      <c r="L22" s="9" t="n">
        <f aca="false">IF(11&gt;=4,Assumptions!$B$39,0)</f>
        <v>5000</v>
      </c>
      <c r="M22" s="9" t="n">
        <f aca="false">IF(12&gt;=4,Assumptions!$B$39,0)</f>
        <v>5000</v>
      </c>
      <c r="N22" s="9" t="n">
        <f aca="false">IF(13&gt;=4,Assumptions!$B$39,0)</f>
        <v>5000</v>
      </c>
      <c r="O22" s="9" t="n">
        <f aca="false">IF(14&gt;=4,Assumptions!$B$39,0)</f>
        <v>5000</v>
      </c>
      <c r="P22" s="9" t="n">
        <f aca="false">IF(15&gt;=4,Assumptions!$B$39,0)</f>
        <v>5000</v>
      </c>
      <c r="Q22" s="9" t="n">
        <f aca="false">IF(16&gt;=4,Assumptions!$B$39,0)</f>
        <v>5000</v>
      </c>
      <c r="R22" s="9" t="n">
        <f aca="false">IF(17&gt;=4,Assumptions!$B$39,0)</f>
        <v>5000</v>
      </c>
      <c r="S22" s="9" t="n">
        <f aca="false">IF(18&gt;=4,Assumptions!$B$39,0)</f>
        <v>5000</v>
      </c>
      <c r="T22" s="16" t="n">
        <f aca="false">SUM(B22:S22)</f>
        <v>75000</v>
      </c>
    </row>
    <row r="23" customFormat="false" ht="15" hidden="false" customHeight="false" outlineLevel="0" collapsed="false">
      <c r="A23" s="4" t="s">
        <v>116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customFormat="false" ht="15" hidden="false" customHeight="false" outlineLevel="0" collapsed="false">
      <c r="A24" s="5" t="s">
        <v>117</v>
      </c>
      <c r="B24" s="9" t="n">
        <f aca="false">IF(AND(1&gt;=4,1&lt;=14),Assumptions!$B$35/11,0)</f>
        <v>0</v>
      </c>
      <c r="C24" s="9" t="n">
        <f aca="false">IF(AND(2&gt;=4,2&lt;=14),Assumptions!$B$35/11,0)</f>
        <v>0</v>
      </c>
      <c r="D24" s="9" t="n">
        <f aca="false">IF(AND(3&gt;=4,3&lt;=14),Assumptions!$B$35/11,0)</f>
        <v>0</v>
      </c>
      <c r="E24" s="9" t="n">
        <f aca="false">IF(AND(4&gt;=4,4&lt;=14),Assumptions!$B$35/11,0)</f>
        <v>20000</v>
      </c>
      <c r="F24" s="9" t="n">
        <f aca="false">IF(AND(5&gt;=4,5&lt;=14),Assumptions!$B$35/11,0)</f>
        <v>20000</v>
      </c>
      <c r="G24" s="9" t="n">
        <f aca="false">IF(AND(6&gt;=4,6&lt;=14),Assumptions!$B$35/11,0)</f>
        <v>20000</v>
      </c>
      <c r="H24" s="9" t="n">
        <f aca="false">IF(AND(7&gt;=4,7&lt;=14),Assumptions!$B$35/11,0)</f>
        <v>20000</v>
      </c>
      <c r="I24" s="9" t="n">
        <f aca="false">IF(AND(8&gt;=4,8&lt;=14),Assumptions!$B$35/11,0)</f>
        <v>20000</v>
      </c>
      <c r="J24" s="9" t="n">
        <f aca="false">IF(AND(9&gt;=4,9&lt;=14),Assumptions!$B$35/11,0)</f>
        <v>20000</v>
      </c>
      <c r="K24" s="9" t="n">
        <f aca="false">IF(AND(10&gt;=4,10&lt;=14),Assumptions!$B$35/11,0)</f>
        <v>20000</v>
      </c>
      <c r="L24" s="9" t="n">
        <f aca="false">IF(AND(11&gt;=4,11&lt;=14),Assumptions!$B$35/11,0)</f>
        <v>20000</v>
      </c>
      <c r="M24" s="9" t="n">
        <f aca="false">IF(AND(12&gt;=4,12&lt;=14),Assumptions!$B$35/11,0)</f>
        <v>20000</v>
      </c>
      <c r="N24" s="9" t="n">
        <f aca="false">IF(AND(13&gt;=4,13&lt;=14),Assumptions!$B$35/11,0)</f>
        <v>20000</v>
      </c>
      <c r="O24" s="9" t="n">
        <f aca="false">IF(AND(14&gt;=4,14&lt;=14),Assumptions!$B$35/11,0)</f>
        <v>20000</v>
      </c>
      <c r="P24" s="9" t="n">
        <f aca="false">IF(AND(15&gt;=4,15&lt;=14),Assumptions!$B$35/11,0)</f>
        <v>0</v>
      </c>
      <c r="Q24" s="9" t="n">
        <f aca="false">IF(AND(16&gt;=4,16&lt;=14),Assumptions!$B$35/11,0)</f>
        <v>0</v>
      </c>
      <c r="R24" s="9" t="n">
        <f aca="false">IF(AND(17&gt;=4,17&lt;=14),Assumptions!$B$35/11,0)</f>
        <v>0</v>
      </c>
      <c r="S24" s="9" t="n">
        <f aca="false">IF(AND(18&gt;=4,18&lt;=14),Assumptions!$B$35/11,0)</f>
        <v>0</v>
      </c>
      <c r="T24" s="16" t="n">
        <f aca="false">SUM(B24:S24)</f>
        <v>220000</v>
      </c>
    </row>
    <row r="25" customFormat="false" ht="15" hidden="false" customHeight="false" outlineLevel="0" collapsed="false">
      <c r="A25" s="5" t="s">
        <v>47</v>
      </c>
      <c r="B25" s="9" t="n">
        <f aca="false">IF(AND(1&gt;=10,1&lt;=15),Assumptions!$B$36/6,0)</f>
        <v>0</v>
      </c>
      <c r="C25" s="9" t="n">
        <f aca="false">IF(AND(2&gt;=10,2&lt;=15),Assumptions!$B$36/6,0)</f>
        <v>0</v>
      </c>
      <c r="D25" s="9" t="n">
        <f aca="false">IF(AND(3&gt;=10,3&lt;=15),Assumptions!$B$36/6,0)</f>
        <v>0</v>
      </c>
      <c r="E25" s="9" t="n">
        <f aca="false">IF(AND(4&gt;=10,4&lt;=15),Assumptions!$B$36/6,0)</f>
        <v>0</v>
      </c>
      <c r="F25" s="9" t="n">
        <f aca="false">IF(AND(5&gt;=10,5&lt;=15),Assumptions!$B$36/6,0)</f>
        <v>0</v>
      </c>
      <c r="G25" s="9" t="n">
        <f aca="false">IF(AND(6&gt;=10,6&lt;=15),Assumptions!$B$36/6,0)</f>
        <v>0</v>
      </c>
      <c r="H25" s="9" t="n">
        <f aca="false">IF(AND(7&gt;=10,7&lt;=15),Assumptions!$B$36/6,0)</f>
        <v>0</v>
      </c>
      <c r="I25" s="9" t="n">
        <f aca="false">IF(AND(8&gt;=10,8&lt;=15),Assumptions!$B$36/6,0)</f>
        <v>0</v>
      </c>
      <c r="J25" s="9" t="n">
        <f aca="false">IF(AND(9&gt;=10,9&lt;=15),Assumptions!$B$36/6,0)</f>
        <v>0</v>
      </c>
      <c r="K25" s="9" t="n">
        <f aca="false">IF(AND(10&gt;=10,10&lt;=15),Assumptions!$B$36/6,0)</f>
        <v>15000</v>
      </c>
      <c r="L25" s="9" t="n">
        <f aca="false">IF(AND(11&gt;=10,11&lt;=15),Assumptions!$B$36/6,0)</f>
        <v>15000</v>
      </c>
      <c r="M25" s="9" t="n">
        <f aca="false">IF(AND(12&gt;=10,12&lt;=15),Assumptions!$B$36/6,0)</f>
        <v>15000</v>
      </c>
      <c r="N25" s="9" t="n">
        <f aca="false">IF(AND(13&gt;=10,13&lt;=15),Assumptions!$B$36/6,0)</f>
        <v>15000</v>
      </c>
      <c r="O25" s="9" t="n">
        <f aca="false">IF(AND(14&gt;=10,14&lt;=15),Assumptions!$B$36/6,0)</f>
        <v>15000</v>
      </c>
      <c r="P25" s="9" t="n">
        <f aca="false">IF(AND(15&gt;=10,15&lt;=15),Assumptions!$B$36/6,0)</f>
        <v>15000</v>
      </c>
      <c r="Q25" s="9" t="n">
        <f aca="false">IF(AND(16&gt;=10,16&lt;=15),Assumptions!$B$36/6,0)</f>
        <v>0</v>
      </c>
      <c r="R25" s="9" t="n">
        <f aca="false">IF(AND(17&gt;=10,17&lt;=15),Assumptions!$B$36/6,0)</f>
        <v>0</v>
      </c>
      <c r="S25" s="9" t="n">
        <f aca="false">IF(AND(18&gt;=10,18&lt;=15),Assumptions!$B$36/6,0)</f>
        <v>0</v>
      </c>
      <c r="T25" s="16" t="n">
        <f aca="false">SUM(B25:S25)</f>
        <v>90000</v>
      </c>
    </row>
    <row r="26" customFormat="false" ht="15" hidden="false" customHeight="false" outlineLevel="0" collapsed="false">
      <c r="A26" s="5" t="s">
        <v>118</v>
      </c>
      <c r="B26" s="9" t="n">
        <f aca="false">IF(AND(1&gt;=4,1&lt;=7),Assumptions!$B$37/4,0)</f>
        <v>0</v>
      </c>
      <c r="C26" s="9" t="n">
        <f aca="false">IF(AND(2&gt;=4,2&lt;=7),Assumptions!$B$37/4,0)</f>
        <v>0</v>
      </c>
      <c r="D26" s="9" t="n">
        <f aca="false">IF(AND(3&gt;=4,3&lt;=7),Assumptions!$B$37/4,0)</f>
        <v>0</v>
      </c>
      <c r="E26" s="9" t="n">
        <f aca="false">IF(AND(4&gt;=4,4&lt;=7),Assumptions!$B$37/4,0)</f>
        <v>3823.52941176471</v>
      </c>
      <c r="F26" s="9" t="n">
        <f aca="false">IF(AND(5&gt;=4,5&lt;=7),Assumptions!$B$37/4,0)</f>
        <v>3823.52941176471</v>
      </c>
      <c r="G26" s="9" t="n">
        <f aca="false">IF(AND(6&gt;=4,6&lt;=7),Assumptions!$B$37/4,0)</f>
        <v>3823.52941176471</v>
      </c>
      <c r="H26" s="9" t="n">
        <f aca="false">IF(AND(7&gt;=4,7&lt;=7),Assumptions!$B$37/4,0)</f>
        <v>3823.52941176471</v>
      </c>
      <c r="I26" s="9" t="n">
        <f aca="false">IF(AND(8&gt;=4,8&lt;=7),Assumptions!$B$37/4,0)</f>
        <v>0</v>
      </c>
      <c r="J26" s="9" t="n">
        <f aca="false">IF(AND(9&gt;=4,9&lt;=7),Assumptions!$B$37/4,0)</f>
        <v>0</v>
      </c>
      <c r="K26" s="9" t="n">
        <f aca="false">IF(AND(10&gt;=4,10&lt;=7),Assumptions!$B$37/4,0)</f>
        <v>0</v>
      </c>
      <c r="L26" s="9" t="n">
        <f aca="false">IF(AND(11&gt;=4,11&lt;=7),Assumptions!$B$37/4,0)</f>
        <v>0</v>
      </c>
      <c r="M26" s="9" t="n">
        <f aca="false">IF(AND(12&gt;=4,12&lt;=7),Assumptions!$B$37/4,0)</f>
        <v>0</v>
      </c>
      <c r="N26" s="9" t="n">
        <f aca="false">IF(AND(13&gt;=4,13&lt;=7),Assumptions!$B$37/4,0)</f>
        <v>0</v>
      </c>
      <c r="O26" s="9" t="n">
        <f aca="false">IF(AND(14&gt;=4,14&lt;=7),Assumptions!$B$37/4,0)</f>
        <v>0</v>
      </c>
      <c r="P26" s="9" t="n">
        <f aca="false">IF(AND(15&gt;=4,15&lt;=7),Assumptions!$B$37/4,0)</f>
        <v>0</v>
      </c>
      <c r="Q26" s="9" t="n">
        <f aca="false">IF(AND(16&gt;=4,16&lt;=7),Assumptions!$B$37/4,0)</f>
        <v>0</v>
      </c>
      <c r="R26" s="9" t="n">
        <f aca="false">IF(AND(17&gt;=4,17&lt;=7),Assumptions!$B$37/4,0)</f>
        <v>0</v>
      </c>
      <c r="S26" s="9" t="n">
        <f aca="false">IF(AND(18&gt;=4,18&lt;=7),Assumptions!$B$37/4,0)</f>
        <v>0</v>
      </c>
      <c r="T26" s="16" t="n">
        <f aca="false">SUM(B26:S26)</f>
        <v>15294.1176470588</v>
      </c>
    </row>
    <row r="27" customFormat="false" ht="15" hidden="false" customHeight="false" outlineLevel="0" collapsed="false">
      <c r="A27" s="5" t="s">
        <v>119</v>
      </c>
      <c r="B27" s="9" t="n">
        <f aca="false">IF(OR(1=2,1=7),Assumptions!$B$38/2,0)</f>
        <v>0</v>
      </c>
      <c r="C27" s="9" t="n">
        <f aca="false">IF(OR(2=2,2=7),Assumptions!$B$38/2,0)</f>
        <v>20000</v>
      </c>
      <c r="D27" s="9" t="n">
        <f aca="false">IF(OR(3=2,3=7),Assumptions!$B$38/2,0)</f>
        <v>0</v>
      </c>
      <c r="E27" s="9" t="n">
        <f aca="false">IF(OR(4=2,4=7),Assumptions!$B$38/2,0)</f>
        <v>0</v>
      </c>
      <c r="F27" s="9" t="n">
        <f aca="false">IF(OR(5=2,5=7),Assumptions!$B$38/2,0)</f>
        <v>0</v>
      </c>
      <c r="G27" s="9" t="n">
        <f aca="false">IF(OR(6=2,6=7),Assumptions!$B$38/2,0)</f>
        <v>0</v>
      </c>
      <c r="H27" s="9" t="n">
        <f aca="false">IF(OR(7=2,7=7),Assumptions!$B$38/2,0)</f>
        <v>20000</v>
      </c>
      <c r="I27" s="9" t="n">
        <f aca="false">IF(OR(8=2,8=7),Assumptions!$B$38/2,0)</f>
        <v>0</v>
      </c>
      <c r="J27" s="9" t="n">
        <f aca="false">IF(OR(9=2,9=7),Assumptions!$B$38/2,0)</f>
        <v>0</v>
      </c>
      <c r="K27" s="9" t="n">
        <f aca="false">IF(OR(10=2,10=7),Assumptions!$B$38/2,0)</f>
        <v>0</v>
      </c>
      <c r="L27" s="9" t="n">
        <f aca="false">IF(OR(11=2,11=7),Assumptions!$B$38/2,0)</f>
        <v>0</v>
      </c>
      <c r="M27" s="9" t="n">
        <f aca="false">IF(OR(12=2,12=7),Assumptions!$B$38/2,0)</f>
        <v>0</v>
      </c>
      <c r="N27" s="9" t="n">
        <f aca="false">IF(OR(13=2,13=7),Assumptions!$B$38/2,0)</f>
        <v>0</v>
      </c>
      <c r="O27" s="9" t="n">
        <f aca="false">IF(OR(14=2,14=7),Assumptions!$B$38/2,0)</f>
        <v>0</v>
      </c>
      <c r="P27" s="9" t="n">
        <f aca="false">IF(OR(15=2,15=7),Assumptions!$B$38/2,0)</f>
        <v>0</v>
      </c>
      <c r="Q27" s="9" t="n">
        <f aca="false">IF(OR(16=2,16=7),Assumptions!$B$38/2,0)</f>
        <v>0</v>
      </c>
      <c r="R27" s="9" t="n">
        <f aca="false">IF(OR(17=2,17=7),Assumptions!$B$38/2,0)</f>
        <v>0</v>
      </c>
      <c r="S27" s="9" t="n">
        <f aca="false">IF(OR(18=2,18=7),Assumptions!$B$38/2,0)</f>
        <v>0</v>
      </c>
      <c r="T27" s="16" t="n">
        <f aca="false">SUM(B27:S27)</f>
        <v>40000</v>
      </c>
    </row>
    <row r="28" customFormat="false" ht="15" hidden="false" customHeight="false" outlineLevel="0" collapsed="false">
      <c r="A28" s="5" t="s">
        <v>120</v>
      </c>
      <c r="B28" s="9" t="n">
        <f aca="false">IF(OR(1=9,1=12,1=15),Assumptions!$B$41,0)</f>
        <v>0</v>
      </c>
      <c r="C28" s="9" t="n">
        <f aca="false">IF(OR(2=9,2=12,2=15),Assumptions!$B$41,0)</f>
        <v>0</v>
      </c>
      <c r="D28" s="9" t="n">
        <f aca="false">IF(OR(3=9,3=12,3=15),Assumptions!$B$41,0)</f>
        <v>0</v>
      </c>
      <c r="E28" s="9" t="n">
        <f aca="false">IF(OR(4=9,4=12,4=15),Assumptions!$B$41,0)</f>
        <v>0</v>
      </c>
      <c r="F28" s="9" t="n">
        <f aca="false">IF(OR(5=9,5=12,5=15),Assumptions!$B$41,0)</f>
        <v>0</v>
      </c>
      <c r="G28" s="9" t="n">
        <f aca="false">IF(OR(6=9,6=12,6=15),Assumptions!$B$41,0)</f>
        <v>0</v>
      </c>
      <c r="H28" s="9" t="n">
        <f aca="false">IF(OR(7=9,7=12,7=15),Assumptions!$B$41,0)</f>
        <v>0</v>
      </c>
      <c r="I28" s="9" t="n">
        <f aca="false">IF(OR(8=9,8=12,8=15),Assumptions!$B$41,0)</f>
        <v>0</v>
      </c>
      <c r="J28" s="9" t="n">
        <f aca="false">IF(OR(9=9,9=12,9=15),Assumptions!$B$41,0)</f>
        <v>8000</v>
      </c>
      <c r="K28" s="9" t="n">
        <f aca="false">IF(OR(10=9,10=12,10=15),Assumptions!$B$41,0)</f>
        <v>0</v>
      </c>
      <c r="L28" s="9" t="n">
        <f aca="false">IF(OR(11=9,11=12,11=15),Assumptions!$B$41,0)</f>
        <v>0</v>
      </c>
      <c r="M28" s="9" t="n">
        <f aca="false">IF(OR(12=9,12=12,12=15),Assumptions!$B$41,0)</f>
        <v>8000</v>
      </c>
      <c r="N28" s="9" t="n">
        <f aca="false">IF(OR(13=9,13=12,13=15),Assumptions!$B$41,0)</f>
        <v>0</v>
      </c>
      <c r="O28" s="9" t="n">
        <f aca="false">IF(OR(14=9,14=12,14=15),Assumptions!$B$41,0)</f>
        <v>0</v>
      </c>
      <c r="P28" s="9" t="n">
        <f aca="false">IF(OR(15=9,15=12,15=15),Assumptions!$B$41,0)</f>
        <v>8000</v>
      </c>
      <c r="Q28" s="9" t="n">
        <f aca="false">IF(OR(16=9,16=12,16=15),Assumptions!$B$41,0)</f>
        <v>0</v>
      </c>
      <c r="R28" s="9" t="n">
        <f aca="false">IF(OR(17=9,17=12,17=15),Assumptions!$B$41,0)</f>
        <v>0</v>
      </c>
      <c r="S28" s="9" t="n">
        <f aca="false">IF(OR(18=9,18=12,18=15),Assumptions!$B$41,0)</f>
        <v>0</v>
      </c>
      <c r="T28" s="16" t="n">
        <f aca="false">SUM(B28:S28)</f>
        <v>24000</v>
      </c>
    </row>
    <row r="29" customFormat="false" ht="15" hidden="false" customHeight="false" outlineLevel="0" collapsed="false">
      <c r="A29" s="5" t="s">
        <v>68</v>
      </c>
      <c r="B29" s="9" t="n">
        <f aca="false">IF(1&gt;=Assumptions!$B$49,Assumptions!$B$48,0)</f>
        <v>0</v>
      </c>
      <c r="C29" s="9" t="n">
        <f aca="false">IF(2&gt;=Assumptions!$B$49,Assumptions!$B$48,0)</f>
        <v>0</v>
      </c>
      <c r="D29" s="9" t="n">
        <f aca="false">IF(3&gt;=Assumptions!$B$49,Assumptions!$B$48,0)</f>
        <v>0</v>
      </c>
      <c r="E29" s="9" t="n">
        <f aca="false">IF(4&gt;=Assumptions!$B$49,Assumptions!$B$48,0)</f>
        <v>0</v>
      </c>
      <c r="F29" s="9" t="n">
        <f aca="false">IF(5&gt;=Assumptions!$B$49,Assumptions!$B$48,0)</f>
        <v>0</v>
      </c>
      <c r="G29" s="9" t="n">
        <f aca="false">IF(6&gt;=Assumptions!$B$49,Assumptions!$B$48,0)</f>
        <v>0</v>
      </c>
      <c r="H29" s="9" t="n">
        <f aca="false">IF(7&gt;=Assumptions!$B$49,Assumptions!$B$48,0)</f>
        <v>0</v>
      </c>
      <c r="I29" s="9" t="n">
        <f aca="false">IF(8&gt;=Assumptions!$B$49,Assumptions!$B$48,0)</f>
        <v>0</v>
      </c>
      <c r="J29" s="9" t="n">
        <f aca="false">IF(9&gt;=Assumptions!$B$49,Assumptions!$B$48,0)</f>
        <v>0</v>
      </c>
      <c r="K29" s="9" t="n">
        <f aca="false">IF(10&gt;=Assumptions!$B$49,Assumptions!$B$48,0)</f>
        <v>0</v>
      </c>
      <c r="L29" s="9" t="n">
        <f aca="false">IF(11&gt;=Assumptions!$B$49,Assumptions!$B$48,0)</f>
        <v>2745.09803921569</v>
      </c>
      <c r="M29" s="9" t="n">
        <f aca="false">IF(12&gt;=Assumptions!$B$49,Assumptions!$B$48,0)</f>
        <v>2745.09803921569</v>
      </c>
      <c r="N29" s="9" t="n">
        <f aca="false">IF(13&gt;=Assumptions!$B$49,Assumptions!$B$48,0)</f>
        <v>2745.09803921569</v>
      </c>
      <c r="O29" s="9" t="n">
        <f aca="false">IF(14&gt;=Assumptions!$B$49,Assumptions!$B$48,0)</f>
        <v>2745.09803921569</v>
      </c>
      <c r="P29" s="9" t="n">
        <f aca="false">IF(15&gt;=Assumptions!$B$49,Assumptions!$B$48,0)</f>
        <v>2745.09803921569</v>
      </c>
      <c r="Q29" s="9" t="n">
        <f aca="false">IF(16&gt;=Assumptions!$B$49,Assumptions!$B$48,0)</f>
        <v>2745.09803921569</v>
      </c>
      <c r="R29" s="9" t="n">
        <f aca="false">IF(17&gt;=Assumptions!$B$49,Assumptions!$B$48,0)</f>
        <v>2745.09803921569</v>
      </c>
      <c r="S29" s="9" t="n">
        <f aca="false">IF(18&gt;=Assumptions!$B$49,Assumptions!$B$48,0)</f>
        <v>2745.09803921569</v>
      </c>
      <c r="T29" s="16" t="n">
        <f aca="false">SUM(B29:S29)</f>
        <v>21960.7843137255</v>
      </c>
    </row>
    <row r="30" customFormat="false" ht="15" hidden="false" customHeight="false" outlineLevel="0" collapsed="false">
      <c r="A30" s="5" t="s">
        <v>121</v>
      </c>
      <c r="B30" s="9" t="n">
        <f aca="false">IF(1&gt;=Assumptions!$B$51,Assumptions!$B$50,0)</f>
        <v>0</v>
      </c>
      <c r="C30" s="9" t="n">
        <f aca="false">IF(2&gt;=Assumptions!$B$51,Assumptions!$B$50,0)</f>
        <v>0</v>
      </c>
      <c r="D30" s="9" t="n">
        <f aca="false">IF(3&gt;=Assumptions!$B$51,Assumptions!$B$50,0)</f>
        <v>2000</v>
      </c>
      <c r="E30" s="9" t="n">
        <f aca="false">IF(4&gt;=Assumptions!$B$51,Assumptions!$B$50,0)</f>
        <v>2000</v>
      </c>
      <c r="F30" s="9" t="n">
        <f aca="false">IF(5&gt;=Assumptions!$B$51,Assumptions!$B$50,0)</f>
        <v>2000</v>
      </c>
      <c r="G30" s="9" t="n">
        <f aca="false">IF(6&gt;=Assumptions!$B$51,Assumptions!$B$50,0)</f>
        <v>2000</v>
      </c>
      <c r="H30" s="9" t="n">
        <f aca="false">IF(7&gt;=Assumptions!$B$51,Assumptions!$B$50,0)</f>
        <v>2000</v>
      </c>
      <c r="I30" s="9" t="n">
        <f aca="false">IF(8&gt;=Assumptions!$B$51,Assumptions!$B$50,0)</f>
        <v>2000</v>
      </c>
      <c r="J30" s="9" t="n">
        <f aca="false">IF(9&gt;=Assumptions!$B$51,Assumptions!$B$50,0)</f>
        <v>2000</v>
      </c>
      <c r="K30" s="9" t="n">
        <f aca="false">IF(10&gt;=Assumptions!$B$51,Assumptions!$B$50,0)</f>
        <v>2000</v>
      </c>
      <c r="L30" s="9" t="n">
        <f aca="false">IF(11&gt;=Assumptions!$B$51,Assumptions!$B$50,0)</f>
        <v>2000</v>
      </c>
      <c r="M30" s="9" t="n">
        <f aca="false">IF(12&gt;=Assumptions!$B$51,Assumptions!$B$50,0)</f>
        <v>2000</v>
      </c>
      <c r="N30" s="9" t="n">
        <f aca="false">IF(13&gt;=Assumptions!$B$51,Assumptions!$B$50,0)</f>
        <v>2000</v>
      </c>
      <c r="O30" s="9" t="n">
        <f aca="false">IF(14&gt;=Assumptions!$B$51,Assumptions!$B$50,0)</f>
        <v>2000</v>
      </c>
      <c r="P30" s="9" t="n">
        <f aca="false">IF(15&gt;=Assumptions!$B$51,Assumptions!$B$50,0)</f>
        <v>2000</v>
      </c>
      <c r="Q30" s="9" t="n">
        <f aca="false">IF(16&gt;=Assumptions!$B$51,Assumptions!$B$50,0)</f>
        <v>2000</v>
      </c>
      <c r="R30" s="9" t="n">
        <f aca="false">IF(17&gt;=Assumptions!$B$51,Assumptions!$B$50,0)</f>
        <v>2000</v>
      </c>
      <c r="S30" s="9" t="n">
        <f aca="false">IF(18&gt;=Assumptions!$B$51,Assumptions!$B$50,0)</f>
        <v>2000</v>
      </c>
      <c r="T30" s="16" t="n">
        <f aca="false">SUM(B30:S30)</f>
        <v>32000</v>
      </c>
    </row>
    <row r="31" customFormat="false" ht="15" hidden="false" customHeight="false" outlineLevel="0" collapsed="false">
      <c r="A31" s="5" t="s">
        <v>122</v>
      </c>
      <c r="B31" s="9" t="n">
        <f aca="false">IF(1=Assumptions!$B$53,Assumptions!$B$52,0)</f>
        <v>0</v>
      </c>
      <c r="C31" s="9" t="n">
        <f aca="false">IF(2=Assumptions!$B$53,Assumptions!$B$52,0)</f>
        <v>10000</v>
      </c>
      <c r="D31" s="9" t="n">
        <f aca="false">IF(3=Assumptions!$B$53,Assumptions!$B$52,0)</f>
        <v>0</v>
      </c>
      <c r="E31" s="9" t="n">
        <f aca="false">IF(4=Assumptions!$B$53,Assumptions!$B$52,0)</f>
        <v>0</v>
      </c>
      <c r="F31" s="9" t="n">
        <f aca="false">IF(5=Assumptions!$B$53,Assumptions!$B$52,0)</f>
        <v>0</v>
      </c>
      <c r="G31" s="9" t="n">
        <f aca="false">IF(6=Assumptions!$B$53,Assumptions!$B$52,0)</f>
        <v>0</v>
      </c>
      <c r="H31" s="9" t="n">
        <f aca="false">IF(7=Assumptions!$B$53,Assumptions!$B$52,0)</f>
        <v>0</v>
      </c>
      <c r="I31" s="9" t="n">
        <f aca="false">IF(8=Assumptions!$B$53,Assumptions!$B$52,0)</f>
        <v>0</v>
      </c>
      <c r="J31" s="9" t="n">
        <f aca="false">IF(9=Assumptions!$B$53,Assumptions!$B$52,0)</f>
        <v>0</v>
      </c>
      <c r="K31" s="9" t="n">
        <f aca="false">IF(10=Assumptions!$B$53,Assumptions!$B$52,0)</f>
        <v>0</v>
      </c>
      <c r="L31" s="9" t="n">
        <f aca="false">IF(11=Assumptions!$B$53,Assumptions!$B$52,0)</f>
        <v>0</v>
      </c>
      <c r="M31" s="9" t="n">
        <f aca="false">IF(12=Assumptions!$B$53,Assumptions!$B$52,0)</f>
        <v>0</v>
      </c>
      <c r="N31" s="9" t="n">
        <f aca="false">IF(13=Assumptions!$B$53,Assumptions!$B$52,0)</f>
        <v>0</v>
      </c>
      <c r="O31" s="9" t="n">
        <f aca="false">IF(14=Assumptions!$B$53,Assumptions!$B$52,0)</f>
        <v>0</v>
      </c>
      <c r="P31" s="9" t="n">
        <f aca="false">IF(15=Assumptions!$B$53,Assumptions!$B$52,0)</f>
        <v>0</v>
      </c>
      <c r="Q31" s="9" t="n">
        <f aca="false">IF(16=Assumptions!$B$53,Assumptions!$B$52,0)</f>
        <v>0</v>
      </c>
      <c r="R31" s="9" t="n">
        <f aca="false">IF(17=Assumptions!$B$53,Assumptions!$B$52,0)</f>
        <v>0</v>
      </c>
      <c r="S31" s="9" t="n">
        <f aca="false">IF(18=Assumptions!$B$53,Assumptions!$B$52,0)</f>
        <v>0</v>
      </c>
      <c r="T31" s="16" t="n">
        <f aca="false">SUM(B31:S31)</f>
        <v>10000</v>
      </c>
    </row>
    <row r="32" customFormat="false" ht="15" hidden="false" customHeight="false" outlineLevel="0" collapsed="false">
      <c r="A32" s="5" t="s">
        <v>123</v>
      </c>
      <c r="B32" s="9" t="n">
        <f aca="false">Assumptions!$B$42*SUM(B9:B31)</f>
        <v>1140</v>
      </c>
      <c r="C32" s="9" t="n">
        <f aca="false">Assumptions!$B$42*SUM(C9:C31)</f>
        <v>3587.05882352941</v>
      </c>
      <c r="D32" s="9" t="n">
        <f aca="false">Assumptions!$B$42*SUM(D9:D31)</f>
        <v>3002.35294117647</v>
      </c>
      <c r="E32" s="9" t="n">
        <f aca="false">Assumptions!$B$42*SUM(E9:E31)</f>
        <v>5143.52941176471</v>
      </c>
      <c r="F32" s="9" t="n">
        <f aca="false">Assumptions!$B$42*SUM(F9:F31)</f>
        <v>5467.05882352941</v>
      </c>
      <c r="G32" s="9" t="n">
        <f aca="false">Assumptions!$B$42*SUM(G9:G31)</f>
        <v>5467.05882352941</v>
      </c>
      <c r="H32" s="9" t="n">
        <f aca="false">Assumptions!$B$42*SUM(H9:H31)</f>
        <v>6667.05882352941</v>
      </c>
      <c r="I32" s="9" t="n">
        <f aca="false">Assumptions!$B$42*SUM(I9:I31)</f>
        <v>5561.17647058824</v>
      </c>
      <c r="J32" s="9" t="n">
        <f aca="false">Assumptions!$B$42*SUM(J9:J31)</f>
        <v>6041.17647058824</v>
      </c>
      <c r="K32" s="9" t="n">
        <f aca="false">Assumptions!$B$42*SUM(K9:K31)</f>
        <v>6461.17647058824</v>
      </c>
      <c r="L32" s="9" t="n">
        <f aca="false">Assumptions!$B$42*SUM(L9:L31)</f>
        <v>6625.88235294118</v>
      </c>
      <c r="M32" s="9" t="n">
        <f aca="false">Assumptions!$B$42*SUM(M9:M31)</f>
        <v>7105.88235294118</v>
      </c>
      <c r="N32" s="9" t="n">
        <f aca="false">Assumptions!$B$42*SUM(N9:N31)</f>
        <v>6625.88235294118</v>
      </c>
      <c r="O32" s="9" t="n">
        <f aca="false">Assumptions!$B$42*SUM(O9:O31)</f>
        <v>6625.88235294118</v>
      </c>
      <c r="P32" s="9" t="n">
        <f aca="false">Assumptions!$B$42*SUM(P9:P31)</f>
        <v>5905.88235294118</v>
      </c>
      <c r="Q32" s="9" t="n">
        <f aca="false">Assumptions!$B$42*SUM(Q9:Q31)</f>
        <v>4525.88235294118</v>
      </c>
      <c r="R32" s="9" t="n">
        <f aca="false">Assumptions!$B$42*SUM(R9:R31)</f>
        <v>4525.88235294118</v>
      </c>
      <c r="S32" s="9" t="n">
        <f aca="false">Assumptions!$B$42*SUM(S9:S31)</f>
        <v>4525.88235294118</v>
      </c>
      <c r="T32" s="16" t="n">
        <f aca="false">SUM(B32:S32)</f>
        <v>95004.7058823529</v>
      </c>
    </row>
    <row r="34" customFormat="false" ht="15" hidden="false" customHeight="false" outlineLevel="0" collapsed="false">
      <c r="A34" s="4" t="s">
        <v>124</v>
      </c>
      <c r="B34" s="16" t="n">
        <f aca="false">B6+B7</f>
        <v>1920000</v>
      </c>
      <c r="C34" s="16" t="n">
        <f aca="false">C6+C7</f>
        <v>0</v>
      </c>
      <c r="D34" s="16" t="n">
        <f aca="false">D6+D7</f>
        <v>0</v>
      </c>
      <c r="E34" s="16" t="n">
        <f aca="false">E6+E7</f>
        <v>0</v>
      </c>
      <c r="F34" s="16" t="n">
        <f aca="false">F6+F7</f>
        <v>0</v>
      </c>
      <c r="G34" s="16" t="n">
        <f aca="false">G6+G7</f>
        <v>0</v>
      </c>
      <c r="H34" s="16" t="n">
        <f aca="false">H6+H7</f>
        <v>0</v>
      </c>
      <c r="I34" s="16" t="n">
        <f aca="false">I6+I7</f>
        <v>0</v>
      </c>
      <c r="J34" s="16" t="n">
        <f aca="false">J6+J7</f>
        <v>0</v>
      </c>
      <c r="K34" s="16" t="n">
        <f aca="false">K6+K7</f>
        <v>25000</v>
      </c>
      <c r="L34" s="16" t="n">
        <f aca="false">L6+L7</f>
        <v>0</v>
      </c>
      <c r="M34" s="16" t="n">
        <f aca="false">M6+M7</f>
        <v>0</v>
      </c>
      <c r="N34" s="16" t="n">
        <f aca="false">N6+N7</f>
        <v>25000</v>
      </c>
      <c r="O34" s="16" t="n">
        <f aca="false">O6+O7</f>
        <v>0</v>
      </c>
      <c r="P34" s="16" t="n">
        <f aca="false">P6+P7</f>
        <v>0</v>
      </c>
      <c r="Q34" s="16" t="n">
        <f aca="false">Q6+Q7</f>
        <v>25000</v>
      </c>
      <c r="R34" s="16" t="n">
        <f aca="false">R6+R7</f>
        <v>0</v>
      </c>
      <c r="S34" s="16" t="n">
        <f aca="false">S6+S7</f>
        <v>0</v>
      </c>
      <c r="T34" s="17" t="n">
        <f aca="false">SUM(B34:S34)</f>
        <v>1995000</v>
      </c>
    </row>
    <row r="35" customFormat="false" ht="15" hidden="false" customHeight="false" outlineLevel="0" collapsed="false">
      <c r="A35" s="4" t="s">
        <v>125</v>
      </c>
      <c r="B35" s="16" t="n">
        <f aca="false">SUM(B9:B31)+B32</f>
        <v>20140</v>
      </c>
      <c r="C35" s="16" t="n">
        <f aca="false">SUM(C9:C31)+C32</f>
        <v>63371.3725490196</v>
      </c>
      <c r="D35" s="16" t="n">
        <f aca="false">SUM(D9:D31)+D32</f>
        <v>53041.568627451</v>
      </c>
      <c r="E35" s="16" t="n">
        <f aca="false">SUM(E9:E31)+E32</f>
        <v>90869.0196078431</v>
      </c>
      <c r="F35" s="16" t="n">
        <f aca="false">SUM(F9:F31)+F32</f>
        <v>96584.7058823529</v>
      </c>
      <c r="G35" s="16" t="n">
        <f aca="false">SUM(G9:G31)+G32</f>
        <v>96584.7058823529</v>
      </c>
      <c r="H35" s="16" t="n">
        <f aca="false">SUM(H9:H31)+H32</f>
        <v>117784.705882353</v>
      </c>
      <c r="I35" s="16" t="n">
        <f aca="false">SUM(I9:I31)+I32</f>
        <v>98247.4509803922</v>
      </c>
      <c r="J35" s="16" t="n">
        <f aca="false">SUM(J9:J31)+J32</f>
        <v>106727.450980392</v>
      </c>
      <c r="K35" s="16" t="n">
        <f aca="false">SUM(K9:K31)+K32</f>
        <v>114147.450980392</v>
      </c>
      <c r="L35" s="16" t="n">
        <f aca="false">SUM(L9:L31)+L32</f>
        <v>117057.254901961</v>
      </c>
      <c r="M35" s="16" t="n">
        <f aca="false">SUM(M9:M31)+M32</f>
        <v>125537.254901961</v>
      </c>
      <c r="N35" s="16" t="n">
        <f aca="false">SUM(N9:N31)+N32</f>
        <v>117057.254901961</v>
      </c>
      <c r="O35" s="16" t="n">
        <f aca="false">SUM(O9:O31)+O32</f>
        <v>117057.254901961</v>
      </c>
      <c r="P35" s="16" t="n">
        <f aca="false">SUM(P9:P31)+P32</f>
        <v>104337.254901961</v>
      </c>
      <c r="Q35" s="16" t="n">
        <f aca="false">SUM(Q9:Q31)+Q32</f>
        <v>79957.2549019608</v>
      </c>
      <c r="R35" s="16" t="n">
        <f aca="false">SUM(R9:R31)+R32</f>
        <v>79957.2549019608</v>
      </c>
      <c r="S35" s="16" t="n">
        <f aca="false">SUM(S9:S31)+S32</f>
        <v>79957.2549019608</v>
      </c>
      <c r="T35" s="17" t="n">
        <f aca="false">SUM(B35:S35)</f>
        <v>1678416.47058824</v>
      </c>
    </row>
    <row r="36" customFormat="false" ht="15" hidden="false" customHeight="false" outlineLevel="0" collapsed="false">
      <c r="A36" s="4" t="s">
        <v>126</v>
      </c>
      <c r="B36" s="16" t="n">
        <f aca="false">B34-B35</f>
        <v>1899860</v>
      </c>
      <c r="C36" s="16" t="n">
        <f aca="false">C34-C35</f>
        <v>-63371.3725490196</v>
      </c>
      <c r="D36" s="16" t="n">
        <f aca="false">D34-D35</f>
        <v>-53041.568627451</v>
      </c>
      <c r="E36" s="16" t="n">
        <f aca="false">E34-E35</f>
        <v>-90869.0196078431</v>
      </c>
      <c r="F36" s="16" t="n">
        <f aca="false">F34-F35</f>
        <v>-96584.7058823529</v>
      </c>
      <c r="G36" s="16" t="n">
        <f aca="false">G34-G35</f>
        <v>-96584.7058823529</v>
      </c>
      <c r="H36" s="16" t="n">
        <f aca="false">H34-H35</f>
        <v>-117784.705882353</v>
      </c>
      <c r="I36" s="16" t="n">
        <f aca="false">I34-I35</f>
        <v>-98247.4509803922</v>
      </c>
      <c r="J36" s="16" t="n">
        <f aca="false">J34-J35</f>
        <v>-106727.450980392</v>
      </c>
      <c r="K36" s="16" t="n">
        <f aca="false">K34-K35</f>
        <v>-89147.4509803922</v>
      </c>
      <c r="L36" s="16" t="n">
        <f aca="false">L34-L35</f>
        <v>-117057.254901961</v>
      </c>
      <c r="M36" s="16" t="n">
        <f aca="false">M34-M35</f>
        <v>-125537.254901961</v>
      </c>
      <c r="N36" s="16" t="n">
        <f aca="false">N34-N35</f>
        <v>-92057.2549019608</v>
      </c>
      <c r="O36" s="16" t="n">
        <f aca="false">O34-O35</f>
        <v>-117057.254901961</v>
      </c>
      <c r="P36" s="16" t="n">
        <f aca="false">P34-P35</f>
        <v>-104337.254901961</v>
      </c>
      <c r="Q36" s="16" t="n">
        <f aca="false">Q34-Q35</f>
        <v>-54957.2549019608</v>
      </c>
      <c r="R36" s="16" t="n">
        <f aca="false">R34-R35</f>
        <v>-79957.2549019608</v>
      </c>
      <c r="S36" s="16" t="n">
        <f aca="false">S34-S35</f>
        <v>-79957.2549019608</v>
      </c>
    </row>
    <row r="37" customFormat="false" ht="15" hidden="false" customHeight="false" outlineLevel="0" collapsed="false">
      <c r="A37" s="18" t="s">
        <v>127</v>
      </c>
      <c r="B37" s="16" t="n">
        <f aca="false">Assumptions!$B$10+B36</f>
        <v>1899860</v>
      </c>
      <c r="C37" s="16" t="n">
        <f aca="false">B37+C36</f>
        <v>1836488.62745098</v>
      </c>
      <c r="D37" s="16" t="n">
        <f aca="false">C37+D36</f>
        <v>1783447.05882353</v>
      </c>
      <c r="E37" s="16" t="n">
        <f aca="false">D37+E36</f>
        <v>1692578.03921569</v>
      </c>
      <c r="F37" s="16" t="n">
        <f aca="false">E37+F36</f>
        <v>1595993.33333333</v>
      </c>
      <c r="G37" s="16" t="n">
        <f aca="false">F37+G36</f>
        <v>1499408.62745098</v>
      </c>
      <c r="H37" s="16" t="n">
        <f aca="false">G37+H36</f>
        <v>1381623.92156863</v>
      </c>
      <c r="I37" s="16" t="n">
        <f aca="false">H37+I36</f>
        <v>1283376.47058824</v>
      </c>
      <c r="J37" s="16" t="n">
        <f aca="false">I37+J36</f>
        <v>1176649.01960784</v>
      </c>
      <c r="K37" s="16" t="n">
        <f aca="false">J37+K36</f>
        <v>1087501.56862745</v>
      </c>
      <c r="L37" s="16" t="n">
        <f aca="false">K37+L36</f>
        <v>970444.31372549</v>
      </c>
      <c r="M37" s="16" t="n">
        <f aca="false">L37+M36</f>
        <v>844907.05882353</v>
      </c>
      <c r="N37" s="16" t="n">
        <f aca="false">M37+N36</f>
        <v>752849.803921569</v>
      </c>
      <c r="O37" s="16" t="n">
        <f aca="false">N37+O36</f>
        <v>635792.549019608</v>
      </c>
      <c r="P37" s="16" t="n">
        <f aca="false">O37+P36</f>
        <v>531455.294117648</v>
      </c>
      <c r="Q37" s="16" t="n">
        <f aca="false">P37+Q36</f>
        <v>476498.039215687</v>
      </c>
      <c r="R37" s="16" t="n">
        <f aca="false">Q37+R36</f>
        <v>396540.784313726</v>
      </c>
      <c r="S37" s="16" t="n">
        <f aca="false">R37+S36</f>
        <v>316583.529411765</v>
      </c>
    </row>
    <row r="39" customFormat="false" ht="15" hidden="false" customHeight="false" outlineLevel="0" collapsed="false">
      <c r="A39" s="2" t="s">
        <v>128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2"/>
    <col collapsed="false" customWidth="true" hidden="false" outlineLevel="0" max="4" min="3" style="0" width="16"/>
    <col collapsed="false" customWidth="true" hidden="false" outlineLevel="0" max="5" min="5" style="0" width="12"/>
    <col collapsed="false" customWidth="true" hidden="false" outlineLevel="0" max="6" min="6" style="0" width="42"/>
  </cols>
  <sheetData>
    <row r="1" customFormat="false" ht="17.35" hidden="false" customHeight="false" outlineLevel="0" collapsed="false">
      <c r="A1" s="1" t="s">
        <v>129</v>
      </c>
    </row>
    <row r="2" customFormat="false" ht="15" hidden="false" customHeight="false" outlineLevel="0" collapsed="false">
      <c r="A2" s="2" t="s">
        <v>130</v>
      </c>
    </row>
    <row r="4" customFormat="false" ht="15" hidden="false" customHeight="false" outlineLevel="0" collapsed="false">
      <c r="A4" s="19" t="s">
        <v>131</v>
      </c>
      <c r="B4" s="19" t="s">
        <v>132</v>
      </c>
      <c r="C4" s="19" t="s">
        <v>133</v>
      </c>
      <c r="D4" s="19" t="s">
        <v>134</v>
      </c>
      <c r="E4" s="19" t="s">
        <v>135</v>
      </c>
      <c r="F4" s="19" t="s">
        <v>136</v>
      </c>
    </row>
    <row r="5" customFormat="false" ht="15" hidden="false" customHeight="false" outlineLevel="0" collapsed="false">
      <c r="A5" s="20" t="s">
        <v>137</v>
      </c>
      <c r="B5" s="21" t="n">
        <v>0.45</v>
      </c>
      <c r="C5" s="22" t="n">
        <f aca="false">B5*Assumptions!$B$5</f>
        <v>900000</v>
      </c>
      <c r="D5" s="23" t="n">
        <f aca="false">'Monthly Cash Flow'!T9+'Monthly Cash Flow'!T12+'Monthly Cash Flow'!T13+'Monthly Cash Flow'!T14+'Monthly Cash Flow'!T17+'Monthly Cash Flow'!T19</f>
        <v>539411.764705882</v>
      </c>
      <c r="E5" s="22" t="n">
        <f aca="false">D5-C5</f>
        <v>-360588.235294118</v>
      </c>
      <c r="F5" s="24" t="s">
        <v>138</v>
      </c>
    </row>
    <row r="6" customFormat="false" ht="15" hidden="false" customHeight="false" outlineLevel="0" collapsed="false">
      <c r="A6" s="20" t="s">
        <v>139</v>
      </c>
      <c r="B6" s="21" t="n">
        <v>0.2</v>
      </c>
      <c r="C6" s="22" t="n">
        <f aca="false">B6*Assumptions!$B$5</f>
        <v>400000</v>
      </c>
      <c r="D6" s="23" t="n">
        <f aca="false">'Monthly Cash Flow'!T10+'Monthly Cash Flow'!T24+'Monthly Cash Flow'!T25</f>
        <v>419803.921568627</v>
      </c>
      <c r="E6" s="22" t="n">
        <f aca="false">D6-C6</f>
        <v>19803.9215686275</v>
      </c>
      <c r="F6" s="24" t="s">
        <v>140</v>
      </c>
    </row>
    <row r="7" customFormat="false" ht="15" hidden="false" customHeight="false" outlineLevel="0" collapsed="false">
      <c r="A7" s="20" t="s">
        <v>141</v>
      </c>
      <c r="B7" s="21" t="n">
        <v>0.2</v>
      </c>
      <c r="C7" s="22" t="n">
        <f aca="false">B7*Assumptions!$B$5</f>
        <v>400000</v>
      </c>
      <c r="D7" s="23" t="n">
        <f aca="false">'Monthly Cash Flow'!T11+'Monthly Cash Flow'!T21+'Monthly Cash Flow'!T28+'Monthly Cash Flow'!T29+'Monthly Cash Flow'!T30+'Monthly Cash Flow'!T31</f>
        <v>286901.960784314</v>
      </c>
      <c r="E7" s="22" t="n">
        <f aca="false">D7-C7</f>
        <v>-113098.039215686</v>
      </c>
      <c r="F7" s="24" t="s">
        <v>142</v>
      </c>
    </row>
    <row r="8" customFormat="false" ht="15" hidden="false" customHeight="false" outlineLevel="0" collapsed="false">
      <c r="A8" s="20" t="s">
        <v>143</v>
      </c>
      <c r="B8" s="21" t="n">
        <v>0.05</v>
      </c>
      <c r="C8" s="22" t="n">
        <f aca="false">B8*Assumptions!$B$5</f>
        <v>100000</v>
      </c>
      <c r="D8" s="23" t="n">
        <f aca="false">'Monthly Cash Flow'!T22</f>
        <v>75000</v>
      </c>
      <c r="E8" s="22" t="n">
        <f aca="false">D8-C8</f>
        <v>-25000</v>
      </c>
      <c r="F8" s="24" t="s">
        <v>144</v>
      </c>
    </row>
    <row r="9" customFormat="false" ht="15" hidden="false" customHeight="false" outlineLevel="0" collapsed="false">
      <c r="A9" s="20" t="s">
        <v>145</v>
      </c>
      <c r="B9" s="21" t="n">
        <v>0.1</v>
      </c>
      <c r="C9" s="22" t="n">
        <f aca="false">B9*Assumptions!$B$5</f>
        <v>200000</v>
      </c>
      <c r="D9" s="23" t="n">
        <f aca="false">'Monthly Cash Flow'!T15+'Monthly Cash Flow'!T18+'Monthly Cash Flow'!T20+'Monthly Cash Flow'!T26+'Monthly Cash Flow'!T27+'Monthly Cash Flow'!T32</f>
        <v>357298.823529412</v>
      </c>
      <c r="E9" s="22" t="n">
        <f aca="false">D9-C9</f>
        <v>157298.823529412</v>
      </c>
      <c r="F9" s="24" t="s">
        <v>146</v>
      </c>
    </row>
    <row r="10" customFormat="false" ht="15" hidden="false" customHeight="false" outlineLevel="0" collapsed="false">
      <c r="A10" s="25" t="s">
        <v>147</v>
      </c>
      <c r="B10" s="26" t="n">
        <f aca="false">SUM(B5:B9)</f>
        <v>1</v>
      </c>
      <c r="C10" s="27" t="n">
        <f aca="false">SUM(C5:C9)</f>
        <v>2000000</v>
      </c>
      <c r="D10" s="27" t="n">
        <f aca="false">SUM(D5:D9)</f>
        <v>1678416.47058824</v>
      </c>
      <c r="E10" s="27" t="n">
        <f aca="false">D10-C10</f>
        <v>-321583.529411765</v>
      </c>
      <c r="F10" s="25"/>
    </row>
    <row r="12" customFormat="false" ht="15" hidden="false" customHeight="false" outlineLevel="0" collapsed="false">
      <c r="A12" s="28" t="s">
        <v>148</v>
      </c>
      <c r="B12" s="29" t="n">
        <f aca="false">'Monthly Cash Flow'!S37</f>
        <v>316583.529411765</v>
      </c>
    </row>
    <row r="13" customFormat="false" ht="15" hidden="false" customHeight="false" outlineLevel="0" collapsed="false">
      <c r="A13" s="5" t="s">
        <v>149</v>
      </c>
      <c r="B13" s="17" t="n">
        <f aca="false">Assumptions!$B$6</f>
        <v>80000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C9293DBB0D4190A49C07FE5C5C42" ma:contentTypeVersion="10" ma:contentTypeDescription="Create a new document." ma:contentTypeScope="" ma:versionID="ee3347f9e17981830c50ed8ff15275ab">
  <xsd:schema xmlns:xsd="http://www.w3.org/2001/XMLSchema" xmlns:xs="http://www.w3.org/2001/XMLSchema" xmlns:p="http://schemas.microsoft.com/office/2006/metadata/properties" xmlns:ns2="76935354-188e-47b9-bde5-cf8fba0c8be5" targetNamespace="http://schemas.microsoft.com/office/2006/metadata/properties" ma:root="true" ma:fieldsID="b913bbdfa129bc70be1f2aed6f7204eb" ns2:_="">
    <xsd:import namespace="76935354-188e-47b9-bde5-cf8fba0c8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5354-188e-47b9-bde5-cf8fba0c8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454207-aa0b-49b1-9516-5a42b324e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5354-188e-47b9-bde5-cf8fba0c8b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774529-06C0-43B4-B6EB-B2C7723F740C}"/>
</file>

<file path=customXml/itemProps2.xml><?xml version="1.0" encoding="utf-8"?>
<ds:datastoreItem xmlns:ds="http://schemas.openxmlformats.org/officeDocument/2006/customXml" ds:itemID="{EF10597E-7C5A-4D02-8B93-BC2D47C7DEC9}"/>
</file>

<file path=customXml/itemProps3.xml><?xml version="1.0" encoding="utf-8"?>
<ds:datastoreItem xmlns:ds="http://schemas.openxmlformats.org/officeDocument/2006/customXml" ds:itemID="{B418423E-6617-4706-8A62-37B8A1DDFD5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2026-06-12T08:51:27Z</dcterms:created>
  <dcterms:modified xsi:type="dcterms:W3CDTF">2026-06-12T08:51:27Z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0x01010072CDC9293DBB0D4190A49C07FE5C5C42</vt:lpwstr>
  </property>
</Properties>
</file>